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1405\گزیده بودجه\"/>
    </mc:Choice>
  </mc:AlternateContent>
  <xr:revisionPtr revIDLastSave="0" documentId="13_ncr:1_{AFC95C5F-FD87-4877-A856-C005B8B2FFFF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جدول گزيده1" sheetId="64" r:id="rId1"/>
    <sheet name="جدول گزيده  2" sheetId="65" r:id="rId2"/>
    <sheet name="نمودارها" sheetId="73" state="hidden" r:id="rId3"/>
    <sheet name="قيمت نفت و نرخ ارز.ج(9).ن2 (3)" sheetId="60" state="hidden" r:id="rId4"/>
    <sheet name="نمودار(1)" sheetId="46" state="hidden" r:id="rId5"/>
    <sheet name="نرخ موثر حقوق گمرکی" sheetId="24" state="hidden" r:id="rId6"/>
    <sheet name="حساب ذخيره تعهدات ارزی " sheetId="4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[1]GFS!$T$14:$V$14</definedName>
    <definedName name="__123Graph_AGFS.1" localSheetId="1" hidden="1">[1]GFS!#REF!</definedName>
    <definedName name="__123Graph_AGFS.1" localSheetId="0" hidden="1">[1]GFS!#REF!</definedName>
    <definedName name="__123Graph_AGFS.1" localSheetId="3" hidden="1">[1]GFS!#REF!</definedName>
    <definedName name="__123Graph_AGFS.1" hidden="1">[1]GFS!#REF!</definedName>
    <definedName name="__123Graph_AGFS.2" localSheetId="1" hidden="1">#REF!</definedName>
    <definedName name="__123Graph_AGFS.2" localSheetId="0" hidden="1">#REF!</definedName>
    <definedName name="__123Graph_AGFS.2" localSheetId="3" hidden="1">#REF!</definedName>
    <definedName name="__123Graph_AGFS.2" localSheetId="5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1" hidden="1">[1]GFS!#REF!</definedName>
    <definedName name="__123Graph_CGFS.1" localSheetId="0" hidden="1">[1]GFS!#REF!</definedName>
    <definedName name="__123Graph_CGFS.1" localSheetId="3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1" hidden="1">#REF!</definedName>
    <definedName name="__123Graph_XGFS.2" localSheetId="0" hidden="1">#REF!</definedName>
    <definedName name="__123Graph_XGFS.2" localSheetId="3" hidden="1">#REF!</definedName>
    <definedName name="__123Graph_XGFS.2" localSheetId="5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1" hidden="1">[2]GFS!#REF!</definedName>
    <definedName name="_123GRAGH_CGFS.1" localSheetId="0" hidden="1">[2]GFS!#REF!</definedName>
    <definedName name="_123GRAGH_CGFS.1" localSheetId="3" hidden="1">[2]GFS!#REF!</definedName>
    <definedName name="_123GRAGH_CGFS.1" hidden="1">[2]GFS!#REF!</definedName>
    <definedName name="_123Graph_AGFS.1" localSheetId="1" hidden="1">[2]GFS!#REF!</definedName>
    <definedName name="_123Graph_AGFS.1" localSheetId="0" hidden="1">[2]GFS!#REF!</definedName>
    <definedName name="_123Graph_AGFS.1" localSheetId="3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1">#REF!</definedName>
    <definedName name="ben" localSheetId="0">#REF!</definedName>
    <definedName name="ben" localSheetId="3">#REF!</definedName>
    <definedName name="ben" localSheetId="5">#REF!</definedName>
    <definedName name="ben">#REF!</definedName>
    <definedName name="bene" localSheetId="1">#REF!</definedName>
    <definedName name="bene" localSheetId="0">#REF!</definedName>
    <definedName name="bene" localSheetId="3">#REF!</definedName>
    <definedName name="bene" localSheetId="5">#REF!</definedName>
    <definedName name="bene">#REF!</definedName>
    <definedName name="benef" localSheetId="1">#REF!</definedName>
    <definedName name="benef" localSheetId="0">#REF!</definedName>
    <definedName name="benef" localSheetId="3">#REF!</definedName>
    <definedName name="benef" localSheetId="5">#REF!</definedName>
    <definedName name="benef">#REF!</definedName>
    <definedName name="benefit" localSheetId="1">#REF!</definedName>
    <definedName name="benefit" localSheetId="0">#REF!</definedName>
    <definedName name="benefit" localSheetId="3">#REF!</definedName>
    <definedName name="benefit" localSheetId="5">#REF!</definedName>
    <definedName name="benefit">#REF!</definedName>
    <definedName name="benefit1" localSheetId="1">#REF!</definedName>
    <definedName name="benefit1" localSheetId="0">#REF!</definedName>
    <definedName name="benefit1" localSheetId="3">#REF!</definedName>
    <definedName name="benefit1" localSheetId="5">#REF!</definedName>
    <definedName name="benefit1">#REF!</definedName>
    <definedName name="benefit2" localSheetId="1">#REF!</definedName>
    <definedName name="benefit2" localSheetId="0">#REF!</definedName>
    <definedName name="benefit2" localSheetId="3">#REF!</definedName>
    <definedName name="benefit2" localSheetId="5">#REF!</definedName>
    <definedName name="benefit2">#REF!</definedName>
    <definedName name="benefit3" localSheetId="1">#REF!</definedName>
    <definedName name="benefit3" localSheetId="0">#REF!</definedName>
    <definedName name="benefit3" localSheetId="3">#REF!</definedName>
    <definedName name="benefit3" localSheetId="5">#REF!</definedName>
    <definedName name="benefit3">#REF!</definedName>
    <definedName name="benefit4" localSheetId="1">#REF!</definedName>
    <definedName name="benefit4" localSheetId="0">#REF!</definedName>
    <definedName name="benefit4" localSheetId="3">#REF!</definedName>
    <definedName name="benefit4" localSheetId="5">#REF!</definedName>
    <definedName name="benefit4">#REF!</definedName>
    <definedName name="benefit5" localSheetId="1">#REF!</definedName>
    <definedName name="benefit5" localSheetId="0">#REF!</definedName>
    <definedName name="benefit5" localSheetId="3">#REF!</definedName>
    <definedName name="benefit5" localSheetId="5">#REF!</definedName>
    <definedName name="benefit5">#REF!</definedName>
    <definedName name="benefit6" localSheetId="1">#REF!</definedName>
    <definedName name="benefit6" localSheetId="0">#REF!</definedName>
    <definedName name="benefit6" localSheetId="3">#REF!</definedName>
    <definedName name="benefit6" localSheetId="5">#REF!</definedName>
    <definedName name="benefit6">#REF!</definedName>
    <definedName name="benefit7" localSheetId="1">#REF!</definedName>
    <definedName name="benefit7" localSheetId="0">#REF!</definedName>
    <definedName name="benefit7" localSheetId="3">#REF!</definedName>
    <definedName name="benefit7" localSheetId="5">#REF!</definedName>
    <definedName name="benefit7">#REF!</definedName>
    <definedName name="benefit8" localSheetId="1">#REF!</definedName>
    <definedName name="benefit8" localSheetId="0">#REF!</definedName>
    <definedName name="benefit8" localSheetId="3">#REF!</definedName>
    <definedName name="benefit8" localSheetId="5">#REF!</definedName>
    <definedName name="benefit8">#REF!</definedName>
    <definedName name="benefit9" localSheetId="1">#REF!</definedName>
    <definedName name="benefit9" localSheetId="0">#REF!</definedName>
    <definedName name="benefit9" localSheetId="3">#REF!</definedName>
    <definedName name="benefit9" localSheetId="5">#REF!</definedName>
    <definedName name="benefit9">#REF!</definedName>
    <definedName name="kmnm" localSheetId="3" hidden="1">#REF!</definedName>
    <definedName name="kmnm" hidden="1">#REF!</definedName>
    <definedName name="_xlnm.Print_Area" localSheetId="1">'جدول گزيده  2'!$B$2:$N$45</definedName>
    <definedName name="_xlnm.Print_Area" localSheetId="0">'جدول گزيده1'!$B$2:$P$55</definedName>
    <definedName name="_xlnm.Print_Area" localSheetId="3">'قيمت نفت و نرخ ارز.ج(9).ن2 (3)'!$B$6:$J$19</definedName>
    <definedName name="_xlnm.Print_Area" localSheetId="4">'نمودار(1)'!$H$3:$W$27</definedName>
    <definedName name="published" localSheetId="1">#REF!</definedName>
    <definedName name="published" localSheetId="0">#REF!</definedName>
    <definedName name="published" localSheetId="3">#REF!</definedName>
    <definedName name="published" localSheetId="5">#REF!</definedName>
    <definedName name="published">#REF!</definedName>
    <definedName name="purchace" localSheetId="1">#REF!</definedName>
    <definedName name="purchace" localSheetId="0">#REF!</definedName>
    <definedName name="purchace" localSheetId="3">#REF!</definedName>
    <definedName name="purchace" localSheetId="5">#REF!</definedName>
    <definedName name="purchace">#REF!</definedName>
    <definedName name="received" localSheetId="1">#REF!</definedName>
    <definedName name="received" localSheetId="0">#REF!</definedName>
    <definedName name="received" localSheetId="3">#REF!</definedName>
    <definedName name="received" localSheetId="5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4" i="73" l="1"/>
  <c r="C253" i="73" l="1"/>
  <c r="C252" i="73"/>
  <c r="C290" i="73" l="1"/>
  <c r="C289" i="73"/>
  <c r="C288" i="73"/>
  <c r="E251" i="73" l="1"/>
  <c r="E253" i="73" l="1"/>
  <c r="C280" i="73"/>
  <c r="C279" i="73"/>
  <c r="C278" i="73"/>
  <c r="C276" i="73"/>
  <c r="G264" i="73"/>
  <c r="F264" i="73"/>
  <c r="E264" i="73"/>
  <c r="E265" i="73" s="1"/>
  <c r="G265" i="73" l="1"/>
  <c r="F265" i="73"/>
  <c r="D280" i="73" l="1"/>
  <c r="C251" i="73"/>
  <c r="E252" i="73" l="1"/>
  <c r="D279" i="73"/>
  <c r="E138" i="73" l="1"/>
  <c r="D138" i="73"/>
  <c r="E137" i="73"/>
  <c r="E136" i="73"/>
  <c r="I227" i="73" l="1"/>
  <c r="J227" i="73" s="1"/>
  <c r="K227" i="73" s="1"/>
  <c r="L227" i="73" s="1"/>
  <c r="H227" i="73"/>
  <c r="G227" i="73"/>
  <c r="F227" i="73"/>
  <c r="E250" i="73" l="1"/>
  <c r="D197" i="73"/>
  <c r="E197" i="73" s="1"/>
  <c r="F197" i="73" s="1"/>
  <c r="G197" i="73" s="1"/>
  <c r="H197" i="73" s="1"/>
  <c r="I197" i="73" s="1"/>
  <c r="J197" i="73" s="1"/>
  <c r="K197" i="73" s="1"/>
  <c r="J193" i="73" l="1"/>
  <c r="C157" i="73"/>
  <c r="C179" i="73" l="1"/>
  <c r="C178" i="73"/>
  <c r="D154" i="73"/>
  <c r="J154" i="73"/>
  <c r="J153" i="73"/>
  <c r="H154" i="73" l="1"/>
  <c r="F154" i="73"/>
  <c r="K154" i="73"/>
  <c r="I154" i="73"/>
  <c r="G154" i="73"/>
  <c r="E154" i="73"/>
  <c r="C83" i="73"/>
  <c r="C65" i="73"/>
  <c r="C63" i="73"/>
  <c r="C62" i="73"/>
  <c r="C61" i="73"/>
  <c r="C60" i="73"/>
  <c r="C50" i="73" l="1"/>
  <c r="C49" i="73"/>
  <c r="C46" i="73"/>
  <c r="C45" i="73"/>
  <c r="C44" i="73"/>
  <c r="H230" i="73" l="1"/>
  <c r="J230" i="73" l="1"/>
  <c r="I230" i="73"/>
  <c r="G230" i="73"/>
  <c r="L230" i="73" l="1"/>
  <c r="B229" i="73"/>
  <c r="K230" i="73"/>
  <c r="E179" i="73"/>
  <c r="E230" i="73"/>
  <c r="D230" i="73" l="1"/>
  <c r="F230" i="73"/>
  <c r="K229" i="73"/>
  <c r="G229" i="73"/>
  <c r="H229" i="73"/>
  <c r="L229" i="73"/>
  <c r="D229" i="73"/>
  <c r="I229" i="73"/>
  <c r="E229" i="73"/>
  <c r="F229" i="73"/>
  <c r="J229" i="73"/>
  <c r="B156" i="73" l="1"/>
  <c r="L156" i="73" l="1"/>
  <c r="L155" i="73" s="1"/>
  <c r="D156" i="73"/>
  <c r="D155" i="73" s="1"/>
  <c r="K156" i="73"/>
  <c r="K155" i="73" s="1"/>
  <c r="I156" i="73"/>
  <c r="I155" i="73" s="1"/>
  <c r="H156" i="73"/>
  <c r="H155" i="73" s="1"/>
  <c r="J156" i="73"/>
  <c r="J155" i="73" s="1"/>
  <c r="G156" i="73"/>
  <c r="G155" i="73" s="1"/>
  <c r="F156" i="73"/>
  <c r="F155" i="73" s="1"/>
  <c r="E156" i="73"/>
  <c r="E155" i="73" s="1"/>
  <c r="E249" i="73" l="1"/>
  <c r="E254" i="73" s="1"/>
  <c r="D254" i="73" s="1"/>
  <c r="D253" i="73" l="1"/>
  <c r="D252" i="73"/>
  <c r="D250" i="73"/>
  <c r="D251" i="73"/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H14" i="60" l="1"/>
  <c r="E18" i="24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291" i="73" l="1"/>
  <c r="H265" i="73"/>
  <c r="E177" i="73"/>
  <c r="E178" i="73"/>
  <c r="E62" i="73"/>
  <c r="D179" i="73"/>
  <c r="Q266" i="73" l="1"/>
  <c r="D290" i="73"/>
  <c r="D177" i="73"/>
  <c r="D178" i="73"/>
  <c r="D181" i="73"/>
  <c r="D9" i="46"/>
  <c r="E99" i="73"/>
  <c r="D99" i="73"/>
  <c r="D8" i="46"/>
  <c r="C9" i="46"/>
  <c r="E63" i="73"/>
  <c r="C8" i="46"/>
  <c r="C18" i="46" l="1"/>
  <c r="D24" i="46"/>
  <c r="C24" i="46"/>
  <c r="D180" i="73"/>
  <c r="D288" i="73"/>
  <c r="F99" i="73"/>
  <c r="E8" i="46"/>
  <c r="D25" i="46"/>
  <c r="D10" i="46"/>
  <c r="C10" i="46"/>
  <c r="C25" i="46"/>
  <c r="D45" i="73"/>
  <c r="D49" i="73"/>
  <c r="D48" i="73"/>
  <c r="D46" i="73"/>
  <c r="D43" i="73"/>
  <c r="D50" i="73"/>
  <c r="D44" i="73"/>
  <c r="E18" i="46"/>
  <c r="D276" i="73" l="1"/>
  <c r="D98" i="73"/>
  <c r="D24" i="73"/>
  <c r="E98" i="73"/>
  <c r="D22" i="73"/>
  <c r="D16" i="46"/>
  <c r="D7" i="46"/>
  <c r="D21" i="73"/>
  <c r="D23" i="73"/>
  <c r="C16" i="46"/>
  <c r="C7" i="46"/>
  <c r="E24" i="46"/>
  <c r="M114" i="73" l="1"/>
  <c r="D83" i="73"/>
  <c r="E83" i="73"/>
  <c r="E209" i="73"/>
  <c r="E210" i="73"/>
  <c r="E100" i="73"/>
  <c r="D209" i="73"/>
  <c r="D210" i="73"/>
  <c r="D100" i="73"/>
  <c r="D7" i="73"/>
  <c r="D15" i="46"/>
  <c r="C15" i="46"/>
  <c r="D6" i="73"/>
  <c r="D18" i="46"/>
  <c r="D304" i="73" l="1"/>
  <c r="D17" i="46"/>
  <c r="C17" i="46"/>
  <c r="E6" i="73"/>
  <c r="E7" i="73"/>
  <c r="D5" i="73" l="1"/>
  <c r="D4" i="73"/>
  <c r="E24" i="73"/>
  <c r="E4" i="73"/>
  <c r="E21" i="73"/>
  <c r="E23" i="73"/>
  <c r="E22" i="73"/>
  <c r="E61" i="73" l="1"/>
  <c r="E43" i="73" l="1"/>
  <c r="E48" i="73"/>
  <c r="E46" i="73"/>
  <c r="E44" i="73"/>
  <c r="E49" i="73"/>
  <c r="E52" i="73"/>
  <c r="E50" i="73" l="1"/>
  <c r="E45" i="73"/>
  <c r="L196" i="73" l="1"/>
  <c r="B191" i="73"/>
  <c r="F191" i="73" s="1"/>
  <c r="K191" i="73" l="1"/>
  <c r="G191" i="73"/>
  <c r="D191" i="73"/>
  <c r="D196" i="73" s="1"/>
  <c r="L191" i="73"/>
  <c r="I191" i="73"/>
  <c r="E191" i="73"/>
  <c r="H191" i="73"/>
  <c r="J191" i="73"/>
  <c r="E196" i="73" l="1"/>
  <c r="F196" i="73" s="1"/>
  <c r="G196" i="73" s="1"/>
  <c r="H196" i="73" s="1"/>
  <c r="I196" i="73" s="1"/>
  <c r="J196" i="73" s="1"/>
  <c r="K196" i="73" s="1"/>
  <c r="K193" i="73" l="1"/>
  <c r="I264" i="73"/>
  <c r="I265" i="73" s="1"/>
  <c r="J265" i="73" s="1"/>
  <c r="K265" i="73" s="1"/>
  <c r="L265" i="73" s="1"/>
  <c r="M265" i="73" s="1"/>
  <c r="N265" i="73" s="1"/>
  <c r="O265" i="73" s="1"/>
  <c r="P265" i="73" s="1"/>
  <c r="D278" i="73"/>
  <c r="E9" i="46" l="1"/>
  <c r="Q265" i="73"/>
  <c r="P267" i="73"/>
  <c r="P268" i="73" s="1"/>
  <c r="R266" i="73" l="1"/>
  <c r="R267" i="73"/>
  <c r="D289" i="73" l="1"/>
  <c r="E10" i="46"/>
  <c r="E16" i="46" l="1"/>
  <c r="D275" i="73"/>
  <c r="E289" i="73" s="1"/>
  <c r="E290" i="73" l="1"/>
  <c r="E288" i="73"/>
  <c r="E279" i="73"/>
  <c r="E291" i="73"/>
  <c r="E278" i="73"/>
  <c r="E276" i="73"/>
  <c r="E280" i="73"/>
  <c r="D60" i="73" l="1"/>
  <c r="E60" i="73"/>
  <c r="D62" i="73" l="1"/>
  <c r="D61" i="73"/>
  <c r="D63" i="73"/>
  <c r="E65" i="73"/>
  <c r="D65" i="73"/>
  <c r="E5" i="73" l="1"/>
  <c r="D277" i="73"/>
  <c r="E25" i="46"/>
  <c r="F83" i="73" l="1"/>
  <c r="E7" i="46"/>
  <c r="F98" i="73"/>
  <c r="D281" i="73"/>
  <c r="E281" i="73" s="1"/>
  <c r="E277" i="73"/>
  <c r="D305" i="73" l="1"/>
  <c r="N114" i="73"/>
  <c r="F100" i="73"/>
  <c r="F210" i="73"/>
  <c r="F209" i="73"/>
  <c r="E15" i="46"/>
  <c r="L197" i="73" l="1"/>
  <c r="L192" i="73" s="1"/>
  <c r="E17" i="46"/>
  <c r="E180" i="73" l="1"/>
</calcChain>
</file>

<file path=xl/sharedStrings.xml><?xml version="1.0" encoding="utf-8"?>
<sst xmlns="http://schemas.openxmlformats.org/spreadsheetml/2006/main" count="342" uniqueCount="227">
  <si>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</si>
  <si>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</si>
  <si>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</si>
  <si>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</si>
  <si>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</si>
  <si>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</si>
  <si>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</si>
  <si>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</si>
  <si>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</si>
  <si>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</si>
  <si>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</si>
  <si>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</si>
  <si>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</si>
  <si>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</si>
  <si>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</si>
  <si>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</si>
  <si>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</si>
  <si>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</si>
  <si>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</si>
  <si>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</si>
  <si>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</si>
  <si>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</si>
  <si>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</si>
  <si>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</si>
  <si>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</si>
  <si>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</si>
  <si>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</si>
  <si>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</si>
  <si>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</si>
  <si>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</si>
  <si>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</si>
  <si>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</si>
  <si>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</si>
  <si>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</si>
  <si>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</si>
  <si>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</si>
  <si>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</si>
  <si>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</si>
  <si>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</si>
  <si>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</si>
  <si>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</si>
  <si>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</si>
  <si>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</si>
  <si>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ساير</t>
  </si>
  <si>
    <t xml:space="preserve">پرداخت‌هاي هزينه‌اي- استاني </t>
  </si>
  <si>
    <t>ارديبهشت</t>
  </si>
  <si>
    <t xml:space="preserve">پرداخت‌هاي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</si>
  <si>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</si>
  <si>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</si>
  <si>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</si>
  <si>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</si>
  <si>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</si>
  <si>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</si>
  <si>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</si>
  <si>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</si>
  <si>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</si>
  <si>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</si>
  <si>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</si>
  <si>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</si>
  <si>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</si>
  <si>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</si>
  <si>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</si>
  <si>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</si>
  <si>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</si>
  <si>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</si>
  <si>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</si>
  <si>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</si>
  <si>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</si>
  <si>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</si>
  <si>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</si>
  <si>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</si>
  <si>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</si>
  <si>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</si>
  <si>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</si>
  <si>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</si>
  <si>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</si>
  <si>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</si>
  <si>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</si>
  <si>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</si>
  <si>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</si>
  <si>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</si>
  <si>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</si>
  <si>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</si>
  <si>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</si>
  <si>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 xml:space="preserve">تملك دارايي‌هاي سرمايه‌اي (پرداخت‌هاي عمراني) 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</si>
  <si>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</si>
  <si>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</si>
  <si>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</si>
  <si>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</si>
  <si>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</si>
  <si>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</si>
  <si>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</si>
  <si>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</si>
  <si>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</si>
  <si>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</si>
  <si>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</si>
  <si>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</si>
  <si>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</si>
  <si>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</si>
  <si>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</si>
  <si>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</si>
  <si>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</si>
  <si>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</si>
  <si>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</si>
  <si>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</si>
  <si>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</si>
  <si>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</si>
  <si>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</si>
  <si>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</si>
  <si>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</si>
  <si>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</si>
  <si>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</si>
  <si>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</si>
  <si>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</si>
  <si>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</si>
  <si>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</si>
  <si>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</si>
  <si>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</si>
  <si>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</si>
  <si>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</si>
  <si>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</si>
  <si>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</si>
  <si>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</si>
  <si>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</si>
  <si>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</si>
  <si>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>درآمدهای عمومی</t>
  </si>
  <si>
    <t>درصد تحقق</t>
  </si>
  <si>
    <t xml:space="preserve">درآمدهاي مالياتي دولت </t>
  </si>
  <si>
    <t>ماليات عملكرد شركت‌هاي دولتي</t>
  </si>
  <si>
    <t>ترکیب منابع</t>
  </si>
  <si>
    <t>واگذاری دارایی‌های سرمایه‌ای</t>
  </si>
  <si>
    <t>واگذاری دارایی‌های مالی</t>
  </si>
  <si>
    <t>ترکیب مصارف</t>
  </si>
  <si>
    <t>هزینه‌های جاری</t>
  </si>
  <si>
    <t>تملک دارایی‌های سرمایه‌ای</t>
  </si>
  <si>
    <t>تملک دارایی‌های مالی</t>
  </si>
  <si>
    <t>تنخواه‌گردان هزینه‌های جاری و عمرانی</t>
  </si>
  <si>
    <t>1397:1</t>
  </si>
  <si>
    <t>1397:2</t>
  </si>
  <si>
    <t>1397:3</t>
  </si>
  <si>
    <t>1397:4</t>
  </si>
  <si>
    <t>1397:5</t>
  </si>
  <si>
    <t>1397:6</t>
  </si>
  <si>
    <t>1397:7</t>
  </si>
  <si>
    <t>1397:8</t>
  </si>
  <si>
    <t>کسری تراز عملیاتی</t>
  </si>
  <si>
    <t>مالیات‌های مستقیم</t>
  </si>
  <si>
    <t>مالیات‌های غیرمستقیم</t>
  </si>
  <si>
    <t>سهم از کل درآمدهای مالیاتی</t>
  </si>
  <si>
    <t>سهم از سایر درآمدها</t>
  </si>
  <si>
    <t>درآمدهای مالیاتی</t>
  </si>
  <si>
    <t>سایر درآمدها</t>
  </si>
  <si>
    <t>وابستگي بودجه به نفت (درصد)</t>
  </si>
  <si>
    <t>منابع حاصل از فروش اوراق مالی اسلامی</t>
  </si>
  <si>
    <t>مصوب عمرانی</t>
  </si>
  <si>
    <t>سایر</t>
  </si>
  <si>
    <t>سهم از واگذاری دارایی‌های مالی</t>
  </si>
  <si>
    <t>منابع حاصل از نفت و فرآورده‌های نفتی-محور راست</t>
  </si>
  <si>
    <t>هزینه‌های جاری-محور راست</t>
  </si>
  <si>
    <t>درآمدهای عمومی-محور چپ</t>
  </si>
  <si>
    <t>نسبت تراز عملیاتی به منابع بودجه</t>
  </si>
  <si>
    <t>نسبت تراز عملیاتی به هزینه‌های جاری</t>
  </si>
  <si>
    <t>ارزش صادرات نفت خام (میلیارد دلار)</t>
  </si>
  <si>
    <t>پرداخت‌های عمرانی-محور چپ</t>
  </si>
  <si>
    <t>منابع حاصل از تخصیص اوراق مالی اسلامی-محور چپ</t>
  </si>
  <si>
    <t>صادرات نفت خام (میلیون بشکه در ماه)</t>
  </si>
  <si>
    <t>درصد تحقق پرداخت عمراني</t>
  </si>
  <si>
    <t>کسری تراز عملیاتی و سرمایه‌ای(مصوب)</t>
  </si>
  <si>
    <t>کسری تراز عملیاتی و سرمایه‌ای(عملکرد)</t>
  </si>
  <si>
    <t>1397:9</t>
  </si>
  <si>
    <t>هزینه های جاری</t>
  </si>
  <si>
    <t>یک ماهه</t>
  </si>
  <si>
    <t>دو ماهه</t>
  </si>
  <si>
    <t>سه ماهه</t>
  </si>
  <si>
    <t>چهار ماهه</t>
  </si>
  <si>
    <t>پنج ماهه</t>
  </si>
  <si>
    <t>شش ماهه</t>
  </si>
  <si>
    <t>هفت ماهه</t>
  </si>
  <si>
    <t>هشت ماهه</t>
  </si>
  <si>
    <t>نه ماهه</t>
  </si>
  <si>
    <t>مصوب</t>
  </si>
  <si>
    <t>عملکرد</t>
  </si>
  <si>
    <t>متوسط قیمت نه‌ماهه نفت خام (دلار)</t>
  </si>
  <si>
    <t>عملکرد-محور راست</t>
  </si>
  <si>
    <t>مصوب- محور چپ</t>
  </si>
  <si>
    <t>استفاده از تنخواه‌گردان خزانه (فاقد رقم مصوب)</t>
  </si>
  <si>
    <t>تنخواه هزینه ها</t>
  </si>
  <si>
    <t>سه‌ماهه 1396</t>
  </si>
  <si>
    <t>سه‌ماهه 1397</t>
  </si>
  <si>
    <t>سه‌ماهه 1398</t>
  </si>
  <si>
    <t xml:space="preserve"> واگذاري شركت‌هاي دولتي</t>
  </si>
  <si>
    <t xml:space="preserve">ساير درآمدها </t>
  </si>
  <si>
    <t>پنج ماهه 1396</t>
  </si>
  <si>
    <t>پنج ماهه 1397</t>
  </si>
  <si>
    <t>پنج ماهه 1398</t>
  </si>
  <si>
    <t>(۱)پرداخت‌های قانونی بابت تکالیف قانون بودجه</t>
  </si>
  <si>
    <t>تعدیلات بانک مرکزی(2)</t>
  </si>
  <si>
    <t>منابع حاصل از نفت خام و میعانات گازی</t>
  </si>
  <si>
    <t>عملکرد دو ماهه</t>
  </si>
  <si>
    <t>دو ‌ماهه</t>
  </si>
  <si>
    <t>ماخذ: وزارت امور اقتصادی و دارایی</t>
  </si>
  <si>
    <t xml:space="preserve">یادداشت‌ها: (Ө) محاسبه امكان‌پذیر نمی‌باشد. (..) ارقام در دسترس نیستند. (  ) ارقام داخل پرانتز منفی می‌باشند. (#) بیش از 500 درصد افزایش (کاهش) دارد. (*) ارقام بسیار کوچک و نزدیک به صفر می‌باشند. </t>
  </si>
  <si>
    <t xml:space="preserve"> توجه : ارقام با تقریب كمتر از یك‌دهم گرد شده است .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</si>
  <si>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</si>
  <si>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</si>
  <si>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منابع حاصل از صادرات نفت خام  </t>
  </si>
  <si>
    <t>منابع حاصل از صادرات میعانات گازی و خالص صادرات گاز طبیعی</t>
  </si>
  <si>
    <t>منابع حاصل از  فروش داخلی میعانات گازی (خوراک تحویلی به پتروشیمی‌ها)</t>
  </si>
  <si>
    <t xml:space="preserve">سه درصد صادرات نفت خام، میعانات گازی و خالص صادرات برای مناطق نفت خیز و محروم </t>
  </si>
  <si>
    <t>تامین مالی طرح های راهبردی حمل نقل ریلی و هوایی</t>
  </si>
  <si>
    <t>مازاد منابع حاصل از صادرات نفت خام و میعانات گازی</t>
  </si>
  <si>
    <t>تحویل نفت خام به اشخاص حقیقی، حقوقی، تعاونی و خصوصی براساس قیمت بورس انرژی یا قیمت منطقه‌ای</t>
  </si>
  <si>
    <t>يادداشت‌ها: (Ө) محاسبه امكان‌پذير نمی‌باشد. (..) ارقام در دسترس نيستند. (#) بيش از 500 درصد افزايش (کاهش) دارد. (*) ارقام بسیار کوچک و نزدیک به صفر می‌باشند.</t>
  </si>
  <si>
    <t xml:space="preserve">واگذاري داراي‌هاي مالي </t>
  </si>
  <si>
    <t xml:space="preserve">ماليات بر فروش فرآورده‌هاي نفتي </t>
  </si>
  <si>
    <t>ماليات بر ارزش‌افزوده</t>
  </si>
  <si>
    <t>ماليات بر فروش سيگار</t>
  </si>
  <si>
    <t xml:space="preserve">ماليات بر نقل و انتقال اتومبيل </t>
  </si>
  <si>
    <t xml:space="preserve">3- تراز عملیاتی و سرمایه‌ای دولت از مجموع تراز عملیاتی و خالص واگذاری دارایی‌های سرمایه‌ای به دست می آید. </t>
  </si>
  <si>
    <t xml:space="preserve">تراز عملياتي و سرمايه‌اي(3) </t>
  </si>
  <si>
    <t>صادرات نفت خام به مجموع پرداخت‌هاي هزينه‌اي و تملك دارايي‌هاي سرمايه‌اي</t>
  </si>
  <si>
    <t>تملك دارايي‌هاي سرمايه‌اي به صادرات نفت خام</t>
  </si>
  <si>
    <t>ساير (1)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</si>
  <si>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</si>
  <si>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#</t>
  </si>
  <si>
    <t>*</t>
  </si>
  <si>
    <t>(هزار میلیارد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</si>
</sst>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0.00_)"/>
    <numFmt numFmtId="176" formatCode="#,##0.0"/>
    <numFmt numFmtId="177" formatCode="_(* ###0.000000000_);_(* \(###0.000000000\)"/>
    <numFmt numFmtId="178" formatCode="_(* ###0.00000000000000000000_);_(* \(###0.00000000000000000000\)"/>
  </numFmts>
  <fonts count="56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3"/>
      <color rgb="FF000000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4"/>
      <color indexed="8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3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00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5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6" fontId="11" fillId="0" borderId="0" xfId="0" applyNumberFormat="1" applyFont="1"/>
    <xf numFmtId="176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0" fillId="0" borderId="0" xfId="0" applyNumberFormat="1" applyFont="1" applyBorder="1"/>
    <xf numFmtId="0" fontId="38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7" fontId="19" fillId="0" borderId="0" xfId="0" applyNumberFormat="1" applyFont="1" applyFill="1" applyBorder="1"/>
    <xf numFmtId="178" fontId="19" fillId="0" borderId="0" xfId="0" applyNumberFormat="1" applyFont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6" fontId="41" fillId="6" borderId="0" xfId="0" applyNumberFormat="1" applyFont="1" applyFill="1" applyBorder="1" applyAlignment="1">
      <alignment horizontal="center"/>
    </xf>
    <xf numFmtId="170" fontId="40" fillId="6" borderId="0" xfId="0" applyNumberFormat="1" applyFont="1" applyFill="1" applyBorder="1"/>
    <xf numFmtId="166" fontId="40" fillId="6" borderId="0" xfId="0" applyNumberFormat="1" applyFont="1" applyFill="1" applyBorder="1"/>
    <xf numFmtId="0" fontId="44" fillId="6" borderId="0" xfId="0" applyFont="1" applyFill="1" applyBorder="1" applyAlignment="1">
      <alignment horizontal="center"/>
    </xf>
    <xf numFmtId="166" fontId="41" fillId="6" borderId="0" xfId="0" applyNumberFormat="1" applyFont="1" applyFill="1" applyBorder="1"/>
    <xf numFmtId="166" fontId="40" fillId="0" borderId="0" xfId="0" applyNumberFormat="1" applyFont="1" applyBorder="1" applyAlignment="1">
      <alignment horizontal="right" vertical="center"/>
    </xf>
    <xf numFmtId="177" fontId="40" fillId="0" borderId="0" xfId="0" applyNumberFormat="1" applyFont="1" applyFill="1" applyBorder="1"/>
    <xf numFmtId="178" fontId="40" fillId="0" borderId="0" xfId="0" applyNumberFormat="1" applyFont="1" applyBorder="1"/>
    <xf numFmtId="0" fontId="42" fillId="0" borderId="0" xfId="0" applyFont="1" applyBorder="1" applyAlignment="1"/>
    <xf numFmtId="0" fontId="43" fillId="0" borderId="0" xfId="0" applyNumberFormat="1" applyFont="1" applyBorder="1" applyAlignment="1">
      <alignment horizontal="center" vertical="center"/>
    </xf>
    <xf numFmtId="166" fontId="46" fillId="0" borderId="0" xfId="0" applyNumberFormat="1" applyFont="1" applyBorder="1" applyAlignment="1">
      <alignment horizontal="right" readingOrder="2"/>
    </xf>
    <xf numFmtId="168" fontId="47" fillId="0" borderId="0" xfId="0" applyNumberFormat="1" applyFont="1" applyFill="1" applyBorder="1" applyAlignment="1">
      <alignment horizontal="center"/>
    </xf>
    <xf numFmtId="168" fontId="45" fillId="0" borderId="0" xfId="0" applyNumberFormat="1" applyFont="1" applyFill="1" applyBorder="1" applyAlignment="1" applyProtection="1">
      <alignment horizontal="center"/>
    </xf>
    <xf numFmtId="0" fontId="42" fillId="0" borderId="0" xfId="0" applyFont="1" applyAlignment="1">
      <alignment horizontal="center"/>
    </xf>
    <xf numFmtId="0" fontId="47" fillId="0" borderId="0" xfId="0" applyFont="1" applyFill="1" applyBorder="1" applyAlignment="1">
      <alignment horizontal="center"/>
    </xf>
    <xf numFmtId="166" fontId="42" fillId="0" borderId="0" xfId="0" applyNumberFormat="1" applyFont="1"/>
    <xf numFmtId="1" fontId="17" fillId="0" borderId="0" xfId="0" applyNumberFormat="1" applyFont="1" applyFill="1" applyBorder="1"/>
    <xf numFmtId="49" fontId="37" fillId="0" borderId="0" xfId="0" applyNumberFormat="1" applyFont="1" applyBorder="1" applyAlignment="1">
      <alignment horizontal="center"/>
    </xf>
    <xf numFmtId="1" fontId="41" fillId="6" borderId="0" xfId="0" applyNumberFormat="1" applyFont="1" applyFill="1" applyBorder="1" applyAlignment="1">
      <alignment horizontal="center"/>
    </xf>
    <xf numFmtId="166" fontId="50" fillId="0" borderId="0" xfId="0" applyNumberFormat="1" applyFont="1" applyBorder="1"/>
    <xf numFmtId="0" fontId="44" fillId="6" borderId="0" xfId="0" applyFont="1" applyFill="1" applyBorder="1"/>
    <xf numFmtId="0" fontId="44" fillId="6" borderId="0" xfId="0" applyFont="1" applyFill="1" applyBorder="1" applyAlignment="1">
      <alignment vertical="center"/>
    </xf>
    <xf numFmtId="164" fontId="44" fillId="6" borderId="0" xfId="7" applyFont="1" applyFill="1" applyBorder="1" applyAlignment="1">
      <alignment horizontal="center"/>
    </xf>
    <xf numFmtId="164" fontId="48" fillId="0" borderId="32" xfId="7" applyFont="1" applyFill="1" applyBorder="1" applyAlignment="1">
      <alignment horizontal="center"/>
    </xf>
    <xf numFmtId="166" fontId="49" fillId="0" borderId="32" xfId="0" applyNumberFormat="1" applyFont="1" applyFill="1" applyBorder="1" applyAlignment="1" applyProtection="1">
      <alignment horizontal="center"/>
    </xf>
    <xf numFmtId="166" fontId="48" fillId="0" borderId="32" xfId="0" applyNumberFormat="1" applyFont="1" applyFill="1" applyBorder="1" applyAlignment="1" applyProtection="1">
      <alignment horizontal="center"/>
    </xf>
    <xf numFmtId="0" fontId="48" fillId="0" borderId="32" xfId="0" applyFont="1" applyFill="1" applyBorder="1" applyAlignment="1" applyProtection="1">
      <alignment horizontal="center"/>
    </xf>
    <xf numFmtId="169" fontId="51" fillId="0" borderId="0" xfId="0" applyNumberFormat="1" applyFont="1" applyFill="1" applyBorder="1" applyAlignment="1" applyProtection="1"/>
    <xf numFmtId="166" fontId="48" fillId="0" borderId="0" xfId="0" applyNumberFormat="1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167" fontId="48" fillId="0" borderId="8" xfId="0" applyNumberFormat="1" applyFont="1" applyFill="1" applyBorder="1" applyAlignment="1" applyProtection="1">
      <alignment horizontal="center"/>
    </xf>
    <xf numFmtId="1" fontId="49" fillId="0" borderId="0" xfId="0" applyNumberFormat="1" applyFont="1" applyFill="1" applyBorder="1" applyAlignment="1" applyProtection="1">
      <alignment horizontal="center" vertical="center"/>
    </xf>
    <xf numFmtId="167" fontId="49" fillId="0" borderId="0" xfId="0" applyNumberFormat="1" applyFont="1" applyFill="1" applyBorder="1" applyAlignment="1" applyProtection="1">
      <alignment horizontal="center" vertical="center"/>
    </xf>
    <xf numFmtId="1" fontId="48" fillId="0" borderId="8" xfId="0" applyNumberFormat="1" applyFont="1" applyFill="1" applyBorder="1" applyAlignment="1" applyProtection="1">
      <alignment horizontal="center" vertical="center"/>
    </xf>
    <xf numFmtId="166" fontId="48" fillId="0" borderId="23" xfId="0" applyNumberFormat="1" applyFont="1" applyFill="1" applyBorder="1" applyAlignment="1" applyProtection="1">
      <alignment horizontal="center" vertical="center"/>
    </xf>
    <xf numFmtId="166" fontId="39" fillId="0" borderId="0" xfId="0" applyNumberFormat="1" applyFont="1" applyFill="1" applyBorder="1" applyAlignment="1" applyProtection="1">
      <alignment horizontal="center" vertical="center"/>
    </xf>
    <xf numFmtId="169" fontId="39" fillId="0" borderId="0" xfId="0" applyNumberFormat="1" applyFont="1" applyFill="1" applyBorder="1" applyAlignment="1" applyProtection="1">
      <alignment horizontal="center" vertical="center"/>
    </xf>
    <xf numFmtId="166" fontId="48" fillId="0" borderId="0" xfId="0" applyNumberFormat="1" applyFont="1" applyFill="1" applyBorder="1" applyAlignment="1" applyProtection="1">
      <alignment horizontal="center" vertical="center"/>
    </xf>
    <xf numFmtId="169" fontId="48" fillId="0" borderId="0" xfId="0" applyNumberFormat="1" applyFont="1" applyFill="1" applyBorder="1" applyAlignment="1" applyProtection="1">
      <alignment horizontal="center" vertical="center"/>
    </xf>
    <xf numFmtId="166" fontId="48" fillId="12" borderId="0" xfId="0" applyNumberFormat="1" applyFont="1" applyFill="1" applyBorder="1" applyAlignment="1" applyProtection="1">
      <alignment horizontal="center" vertical="center"/>
    </xf>
    <xf numFmtId="169" fontId="48" fillId="2" borderId="0" xfId="0" applyNumberFormat="1" applyFont="1" applyFill="1" applyBorder="1" applyAlignment="1" applyProtection="1">
      <alignment horizontal="center" vertical="center"/>
    </xf>
    <xf numFmtId="0" fontId="48" fillId="14" borderId="10" xfId="0" applyFont="1" applyFill="1" applyBorder="1" applyAlignment="1">
      <alignment horizontal="right"/>
    </xf>
    <xf numFmtId="166" fontId="48" fillId="14" borderId="10" xfId="0" applyNumberFormat="1" applyFont="1" applyFill="1" applyBorder="1" applyAlignment="1" applyProtection="1">
      <alignment horizontal="center" vertical="center"/>
    </xf>
    <xf numFmtId="169" fontId="48" fillId="14" borderId="10" xfId="0" applyNumberFormat="1" applyFont="1" applyFill="1" applyBorder="1" applyAlignment="1" applyProtection="1">
      <alignment horizontal="center" vertical="center"/>
    </xf>
    <xf numFmtId="166" fontId="35" fillId="0" borderId="32" xfId="0" applyNumberFormat="1" applyFont="1" applyBorder="1" applyAlignment="1"/>
    <xf numFmtId="166" fontId="35" fillId="0" borderId="32" xfId="0" applyNumberFormat="1" applyFont="1" applyBorder="1"/>
    <xf numFmtId="166" fontId="35" fillId="0" borderId="32" xfId="0" applyNumberFormat="1" applyFont="1" applyFill="1" applyBorder="1" applyAlignment="1" applyProtection="1">
      <alignment horizontal="center" vertical="center"/>
    </xf>
    <xf numFmtId="0" fontId="35" fillId="0" borderId="32" xfId="0" applyFont="1" applyFill="1" applyBorder="1" applyAlignment="1" applyProtection="1">
      <alignment horizontal="centerContinuous"/>
    </xf>
    <xf numFmtId="0" fontId="35" fillId="0" borderId="32" xfId="0" applyFont="1" applyFill="1" applyBorder="1" applyAlignment="1" applyProtection="1">
      <alignment horizontal="center"/>
    </xf>
    <xf numFmtId="166" fontId="35" fillId="0" borderId="0" xfId="0" applyNumberFormat="1" applyFont="1" applyBorder="1" applyAlignment="1"/>
    <xf numFmtId="166" fontId="35" fillId="0" borderId="0" xfId="0" applyNumberFormat="1" applyFont="1" applyBorder="1"/>
    <xf numFmtId="173" fontId="35" fillId="0" borderId="0" xfId="0" applyNumberFormat="1" applyFont="1" applyBorder="1"/>
    <xf numFmtId="0" fontId="35" fillId="0" borderId="0" xfId="0" applyFont="1" applyFill="1" applyBorder="1" applyAlignment="1" applyProtection="1">
      <alignment horizontal="center"/>
    </xf>
    <xf numFmtId="1" fontId="35" fillId="0" borderId="0" xfId="0" applyNumberFormat="1" applyFont="1" applyFill="1" applyBorder="1" applyAlignment="1" applyProtection="1">
      <alignment horizontal="center" vertical="center"/>
    </xf>
    <xf numFmtId="167" fontId="35" fillId="0" borderId="0" xfId="0" applyNumberFormat="1" applyFont="1" applyFill="1" applyBorder="1" applyAlignment="1" applyProtection="1">
      <alignment horizontal="center"/>
    </xf>
    <xf numFmtId="166" fontId="36" fillId="0" borderId="23" xfId="0" applyNumberFormat="1" applyFont="1" applyFill="1" applyBorder="1" applyAlignment="1" applyProtection="1">
      <alignment horizontal="center" vertical="center"/>
    </xf>
    <xf numFmtId="169" fontId="35" fillId="0" borderId="23" xfId="0" applyNumberFormat="1" applyFont="1" applyFill="1" applyBorder="1" applyAlignment="1">
      <alignment horizontal="right"/>
    </xf>
    <xf numFmtId="166" fontId="45" fillId="0" borderId="0" xfId="0" applyNumberFormat="1" applyFont="1" applyFill="1" applyBorder="1" applyAlignment="1" applyProtection="1">
      <alignment horizontal="center" vertical="center"/>
    </xf>
    <xf numFmtId="169" fontId="47" fillId="0" borderId="0" xfId="0" applyNumberFormat="1" applyFont="1" applyFill="1" applyBorder="1" applyAlignment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69" fontId="35" fillId="0" borderId="0" xfId="1" applyNumberFormat="1" applyFont="1" applyFill="1" applyBorder="1" applyAlignment="1" applyProtection="1">
      <alignment horizontal="right"/>
    </xf>
    <xf numFmtId="174" fontId="35" fillId="2" borderId="0" xfId="1" applyNumberFormat="1" applyFont="1" applyFill="1" applyBorder="1" applyAlignment="1" applyProtection="1">
      <alignment horizontal="center" vertical="center"/>
    </xf>
    <xf numFmtId="166" fontId="36" fillId="12" borderId="0" xfId="0" applyNumberFormat="1" applyFont="1" applyFill="1" applyBorder="1" applyAlignment="1" applyProtection="1">
      <alignment horizontal="center" vertical="center"/>
    </xf>
    <xf numFmtId="169" fontId="35" fillId="2" borderId="0" xfId="1" applyNumberFormat="1" applyFont="1" applyFill="1" applyBorder="1" applyAlignment="1" applyProtection="1">
      <alignment horizontal="right" vertical="center"/>
    </xf>
    <xf numFmtId="169" fontId="35" fillId="2" borderId="0" xfId="1" applyNumberFormat="1" applyFont="1" applyFill="1" applyBorder="1" applyAlignment="1" applyProtection="1">
      <alignment horizontal="right"/>
    </xf>
    <xf numFmtId="174" fontId="35" fillId="0" borderId="0" xfId="1" applyNumberFormat="1" applyFont="1" applyFill="1" applyBorder="1" applyAlignment="1" applyProtection="1">
      <alignment horizontal="right"/>
    </xf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9" fontId="47" fillId="0" borderId="0" xfId="0" applyNumberFormat="1" applyFont="1" applyFill="1" applyBorder="1" applyAlignment="1">
      <alignment horizontal="right" vertical="center"/>
    </xf>
    <xf numFmtId="166" fontId="36" fillId="14" borderId="0" xfId="0" applyNumberFormat="1" applyFont="1" applyFill="1" applyBorder="1" applyAlignment="1" applyProtection="1">
      <alignment horizontal="center" vertical="center"/>
    </xf>
    <xf numFmtId="169" fontId="35" fillId="14" borderId="0" xfId="0" applyNumberFormat="1" applyFont="1" applyFill="1" applyBorder="1" applyAlignment="1" applyProtection="1">
      <alignment horizontal="right" vertical="center"/>
    </xf>
    <xf numFmtId="169" fontId="35" fillId="0" borderId="0" xfId="0" applyNumberFormat="1" applyFont="1" applyBorder="1" applyAlignment="1">
      <alignment horizontal="right" vertical="center"/>
    </xf>
    <xf numFmtId="174" fontId="35" fillId="14" borderId="0" xfId="1" applyNumberFormat="1" applyFont="1" applyFill="1" applyBorder="1" applyAlignment="1" applyProtection="1">
      <alignment horizontal="center" vertical="center"/>
    </xf>
    <xf numFmtId="169" fontId="35" fillId="14" borderId="0" xfId="1" applyNumberFormat="1" applyFont="1" applyFill="1" applyBorder="1" applyAlignment="1" applyProtection="1">
      <alignment horizontal="right" vertical="center"/>
    </xf>
    <xf numFmtId="174" fontId="47" fillId="0" borderId="0" xfId="0" applyNumberFormat="1" applyFont="1" applyBorder="1"/>
    <xf numFmtId="166" fontId="47" fillId="0" borderId="0" xfId="0" applyNumberFormat="1" applyFont="1" applyBorder="1"/>
    <xf numFmtId="166" fontId="47" fillId="0" borderId="0" xfId="0" applyNumberFormat="1" applyFont="1" applyFill="1" applyBorder="1" applyAlignment="1">
      <alignment vertical="center"/>
    </xf>
    <xf numFmtId="169" fontId="35" fillId="0" borderId="0" xfId="0" applyNumberFormat="1" applyFont="1" applyBorder="1"/>
    <xf numFmtId="169" fontId="47" fillId="0" borderId="0" xfId="0" applyNumberFormat="1" applyFont="1" applyBorder="1"/>
    <xf numFmtId="169" fontId="35" fillId="0" borderId="0" xfId="0" applyNumberFormat="1" applyFont="1" applyBorder="1" applyAlignment="1">
      <alignment horizontal="center" vertical="center"/>
    </xf>
    <xf numFmtId="166" fontId="35" fillId="0" borderId="10" xfId="0" applyNumberFormat="1" applyFont="1" applyBorder="1"/>
    <xf numFmtId="166" fontId="36" fillId="0" borderId="10" xfId="0" applyNumberFormat="1" applyFont="1" applyFill="1" applyBorder="1" applyAlignment="1" applyProtection="1">
      <alignment horizontal="center" vertical="center"/>
    </xf>
    <xf numFmtId="169" fontId="35" fillId="0" borderId="10" xfId="0" applyNumberFormat="1" applyFont="1" applyBorder="1"/>
    <xf numFmtId="0" fontId="42" fillId="0" borderId="0" xfId="0" applyFont="1"/>
    <xf numFmtId="0" fontId="0" fillId="0" borderId="0" xfId="0"/>
    <xf numFmtId="0" fontId="42" fillId="0" borderId="0" xfId="0" applyFont="1"/>
    <xf numFmtId="49" fontId="52" fillId="0" borderId="0" xfId="0" applyNumberFormat="1" applyFont="1" applyFill="1" applyBorder="1" applyAlignment="1">
      <alignment horizontal="center" vertical="center" wrapText="1" readingOrder="2"/>
    </xf>
    <xf numFmtId="0" fontId="42" fillId="0" borderId="0" xfId="0" applyFont="1" applyAlignment="1">
      <alignment wrapText="1"/>
    </xf>
    <xf numFmtId="0" fontId="42" fillId="0" borderId="0" xfId="0" applyFont="1"/>
    <xf numFmtId="166" fontId="0" fillId="0" borderId="0" xfId="0" applyNumberFormat="1"/>
    <xf numFmtId="0" fontId="42" fillId="0" borderId="0" xfId="0" applyFont="1"/>
    <xf numFmtId="1" fontId="42" fillId="0" borderId="0" xfId="0" applyNumberFormat="1" applyFont="1"/>
    <xf numFmtId="0" fontId="42" fillId="13" borderId="0" xfId="0" applyFont="1" applyFill="1"/>
    <xf numFmtId="0" fontId="0" fillId="0" borderId="0" xfId="0"/>
    <xf numFmtId="0" fontId="42" fillId="0" borderId="0" xfId="0" applyFont="1"/>
    <xf numFmtId="0" fontId="0" fillId="0" borderId="0" xfId="0"/>
    <xf numFmtId="1" fontId="0" fillId="0" borderId="0" xfId="0" applyNumberForma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8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 applyAlignment="1">
      <alignment readingOrder="2"/>
    </xf>
    <xf numFmtId="169" fontId="39" fillId="0" borderId="0" xfId="0" applyNumberFormat="1" applyFont="1" applyAlignment="1">
      <alignment horizontal="center" vertical="center"/>
    </xf>
    <xf numFmtId="169" fontId="48" fillId="0" borderId="0" xfId="0" applyNumberFormat="1" applyFont="1" applyAlignment="1">
      <alignment horizontal="center" vertical="center"/>
    </xf>
    <xf numFmtId="0" fontId="35" fillId="0" borderId="32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/>
    </xf>
    <xf numFmtId="0" fontId="48" fillId="0" borderId="32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/>
    </xf>
    <xf numFmtId="49" fontId="16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5" fillId="0" borderId="0" xfId="0" applyFont="1" applyFill="1" applyBorder="1" applyAlignment="1" applyProtection="1">
      <alignment horizontal="center" vertical="center"/>
    </xf>
    <xf numFmtId="166" fontId="35" fillId="0" borderId="0" xfId="0" applyNumberFormat="1" applyFont="1" applyAlignment="1">
      <alignment horizontal="right"/>
    </xf>
    <xf numFmtId="0" fontId="40" fillId="0" borderId="0" xfId="21" applyFont="1" applyAlignment="1">
      <alignment horizontal="right"/>
    </xf>
    <xf numFmtId="166" fontId="40" fillId="0" borderId="0" xfId="21" applyNumberFormat="1" applyFont="1" applyAlignment="1">
      <alignment horizontal="right" vertical="center" readingOrder="2"/>
    </xf>
    <xf numFmtId="166" fontId="40" fillId="0" borderId="0" xfId="21" applyNumberFormat="1" applyFont="1" applyAlignment="1">
      <alignment horizontal="right" vertical="center"/>
    </xf>
    <xf numFmtId="166" fontId="40" fillId="0" borderId="0" xfId="21" applyNumberFormat="1" applyFont="1" applyAlignment="1">
      <alignment horizontal="right" readingOrder="2"/>
    </xf>
    <xf numFmtId="49" fontId="37" fillId="0" borderId="0" xfId="0" applyNumberFormat="1" applyFont="1" applyBorder="1" applyAlignment="1"/>
    <xf numFmtId="0" fontId="43" fillId="0" borderId="0" xfId="0" applyFont="1" applyBorder="1" applyAlignment="1"/>
    <xf numFmtId="166" fontId="36" fillId="0" borderId="23" xfId="0" applyNumberFormat="1" applyFont="1" applyBorder="1" applyAlignment="1">
      <alignment horizontal="center" vertical="center"/>
    </xf>
    <xf numFmtId="166" fontId="4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74" fontId="35" fillId="0" borderId="0" xfId="0" applyNumberFormat="1" applyFont="1" applyAlignment="1">
      <alignment horizontal="right"/>
    </xf>
    <xf numFmtId="174" fontId="47" fillId="0" borderId="0" xfId="0" applyNumberFormat="1" applyFont="1" applyAlignment="1">
      <alignment horizontal="right"/>
    </xf>
    <xf numFmtId="174" fontId="47" fillId="0" borderId="0" xfId="0" applyNumberFormat="1" applyFont="1"/>
    <xf numFmtId="174" fontId="45" fillId="0" borderId="0" xfId="0" applyNumberFormat="1" applyFont="1" applyAlignment="1">
      <alignment horizontal="right"/>
    </xf>
    <xf numFmtId="0" fontId="45" fillId="0" borderId="0" xfId="0" applyFont="1" applyAlignment="1">
      <alignment horizontal="right" vertical="center"/>
    </xf>
    <xf numFmtId="166" fontId="36" fillId="0" borderId="10" xfId="0" applyNumberFormat="1" applyFont="1" applyBorder="1" applyAlignment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166" fontId="48" fillId="0" borderId="23" xfId="0" applyNumberFormat="1" applyFont="1" applyBorder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166" fontId="48" fillId="0" borderId="0" xfId="0" applyNumberFormat="1" applyFont="1" applyAlignment="1">
      <alignment horizontal="center" vertical="center"/>
    </xf>
    <xf numFmtId="166" fontId="48" fillId="12" borderId="0" xfId="0" applyNumberFormat="1" applyFont="1" applyFill="1" applyAlignment="1">
      <alignment horizontal="center" vertical="center"/>
    </xf>
    <xf numFmtId="166" fontId="48" fillId="14" borderId="10" xfId="0" applyNumberFormat="1" applyFont="1" applyFill="1" applyBorder="1" applyAlignment="1">
      <alignment horizontal="center" vertical="center"/>
    </xf>
    <xf numFmtId="169" fontId="35" fillId="0" borderId="23" xfId="0" applyNumberFormat="1" applyFont="1" applyBorder="1" applyAlignment="1">
      <alignment horizontal="right"/>
    </xf>
    <xf numFmtId="169" fontId="47" fillId="0" borderId="0" xfId="0" applyNumberFormat="1" applyFont="1" applyAlignment="1">
      <alignment horizontal="right"/>
    </xf>
    <xf numFmtId="169" fontId="35" fillId="0" borderId="0" xfId="0" applyNumberFormat="1" applyFont="1" applyAlignment="1">
      <alignment horizontal="right"/>
    </xf>
    <xf numFmtId="166" fontId="35" fillId="0" borderId="0" xfId="1" applyNumberFormat="1" applyFont="1" applyFill="1" applyBorder="1" applyAlignment="1" applyProtection="1">
      <alignment horizontal="right"/>
    </xf>
    <xf numFmtId="166" fontId="36" fillId="12" borderId="0" xfId="0" applyNumberFormat="1" applyFont="1" applyFill="1" applyAlignment="1">
      <alignment horizontal="center" vertical="center"/>
    </xf>
    <xf numFmtId="169" fontId="47" fillId="0" borderId="0" xfId="0" applyNumberFormat="1" applyFont="1" applyAlignment="1">
      <alignment horizontal="right" vertical="center"/>
    </xf>
    <xf numFmtId="166" fontId="36" fillId="14" borderId="0" xfId="0" applyNumberFormat="1" applyFont="1" applyFill="1" applyAlignment="1">
      <alignment horizontal="center" vertical="center"/>
    </xf>
    <xf numFmtId="169" fontId="35" fillId="14" borderId="0" xfId="0" applyNumberFormat="1" applyFont="1" applyFill="1" applyAlignment="1">
      <alignment horizontal="right" vertical="center"/>
    </xf>
    <xf numFmtId="169" fontId="35" fillId="0" borderId="0" xfId="0" applyNumberFormat="1" applyFont="1" applyAlignment="1">
      <alignment horizontal="right" vertical="center"/>
    </xf>
    <xf numFmtId="169" fontId="51" fillId="0" borderId="0" xfId="0" applyNumberFormat="1" applyFont="1" applyAlignment="1">
      <alignment horizontal="center" vertical="center"/>
    </xf>
    <xf numFmtId="169" fontId="48" fillId="2" borderId="0" xfId="0" applyNumberFormat="1" applyFont="1" applyFill="1" applyAlignment="1">
      <alignment horizontal="center" vertical="center"/>
    </xf>
    <xf numFmtId="169" fontId="48" fillId="14" borderId="10" xfId="0" applyNumberFormat="1" applyFont="1" applyFill="1" applyBorder="1" applyAlignment="1">
      <alignment horizontal="center" vertical="center"/>
    </xf>
    <xf numFmtId="174" fontId="35" fillId="0" borderId="23" xfId="0" applyNumberFormat="1" applyFont="1" applyBorder="1" applyAlignment="1">
      <alignment horizontal="right"/>
    </xf>
    <xf numFmtId="174" fontId="35" fillId="0" borderId="23" xfId="0" applyNumberFormat="1" applyFont="1" applyBorder="1"/>
    <xf numFmtId="174" fontId="35" fillId="0" borderId="23" xfId="0" applyNumberFormat="1" applyFont="1" applyBorder="1" applyAlignment="1">
      <alignment horizontal="center"/>
    </xf>
    <xf numFmtId="174" fontId="47" fillId="0" borderId="0" xfId="0" applyNumberFormat="1" applyFont="1" applyAlignment="1">
      <alignment horizontal="center"/>
    </xf>
    <xf numFmtId="174" fontId="35" fillId="0" borderId="0" xfId="0" applyNumberFormat="1" applyFont="1"/>
    <xf numFmtId="174" fontId="35" fillId="2" borderId="0" xfId="0" applyNumberFormat="1" applyFont="1" applyFill="1" applyAlignment="1">
      <alignment horizontal="right" vertical="center"/>
    </xf>
    <xf numFmtId="174" fontId="35" fillId="14" borderId="0" xfId="0" applyNumberFormat="1" applyFont="1" applyFill="1" applyAlignment="1">
      <alignment horizontal="right" vertical="center"/>
    </xf>
    <xf numFmtId="174" fontId="35" fillId="14" borderId="0" xfId="0" applyNumberFormat="1" applyFont="1" applyFill="1" applyAlignment="1">
      <alignment horizontal="center" vertical="center"/>
    </xf>
    <xf numFmtId="174" fontId="35" fillId="0" borderId="0" xfId="0" applyNumberFormat="1" applyFont="1" applyAlignment="1">
      <alignment horizontal="right" vertical="center"/>
    </xf>
    <xf numFmtId="174" fontId="35" fillId="0" borderId="0" xfId="0" applyNumberFormat="1" applyFont="1" applyAlignment="1">
      <alignment vertical="center"/>
    </xf>
    <xf numFmtId="174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vertical="center"/>
    </xf>
    <xf numFmtId="166" fontId="35" fillId="0" borderId="0" xfId="0" applyNumberFormat="1" applyFont="1"/>
    <xf numFmtId="166" fontId="47" fillId="0" borderId="0" xfId="0" applyNumberFormat="1" applyFont="1"/>
    <xf numFmtId="166" fontId="35" fillId="0" borderId="10" xfId="0" applyNumberFormat="1" applyFont="1" applyBorder="1" applyAlignment="1">
      <alignment horizontal="right"/>
    </xf>
    <xf numFmtId="0" fontId="48" fillId="0" borderId="23" xfId="0" applyFont="1" applyBorder="1" applyAlignment="1">
      <alignment horizontal="right"/>
    </xf>
    <xf numFmtId="0" fontId="39" fillId="0" borderId="0" xfId="0" applyFont="1" applyAlignment="1">
      <alignment horizontal="right" indent="2"/>
    </xf>
    <xf numFmtId="0" fontId="48" fillId="0" borderId="0" xfId="0" applyFont="1" applyAlignment="1">
      <alignment horizontal="right"/>
    </xf>
    <xf numFmtId="0" fontId="48" fillId="2" borderId="0" xfId="0" applyFont="1" applyFill="1" applyAlignment="1">
      <alignment horizontal="right"/>
    </xf>
    <xf numFmtId="164" fontId="44" fillId="6" borderId="10" xfId="7" applyFont="1" applyFill="1" applyBorder="1" applyAlignment="1"/>
    <xf numFmtId="0" fontId="54" fillId="6" borderId="0" xfId="0" applyFont="1" applyFill="1" applyBorder="1" applyAlignment="1">
      <alignment horizontal="right"/>
    </xf>
    <xf numFmtId="0" fontId="48" fillId="6" borderId="0" xfId="7" applyNumberFormat="1" applyFont="1" applyFill="1" applyBorder="1" applyAlignment="1">
      <alignment horizontal="left"/>
    </xf>
    <xf numFmtId="166" fontId="35" fillId="0" borderId="0" xfId="0" applyNumberFormat="1" applyFont="1" applyAlignment="1">
      <alignment horizontal="right" vertical="center" wrapText="1"/>
    </xf>
    <xf numFmtId="166" fontId="17" fillId="0" borderId="0" xfId="0" applyNumberFormat="1" applyFont="1" applyBorder="1" applyAlignment="1">
      <alignment horizontal="center"/>
    </xf>
    <xf numFmtId="1" fontId="49" fillId="6" borderId="0" xfId="0" applyNumberFormat="1" applyFont="1" applyFill="1" applyBorder="1" applyAlignment="1">
      <alignment horizontal="center"/>
    </xf>
    <xf numFmtId="0" fontId="44" fillId="6" borderId="0" xfId="0" applyFont="1" applyFill="1" applyBorder="1" applyAlignment="1">
      <alignment horizontal="center" readingOrder="1"/>
    </xf>
    <xf numFmtId="166" fontId="41" fillId="6" borderId="10" xfId="0" applyNumberFormat="1" applyFont="1" applyFill="1" applyBorder="1" applyAlignment="1">
      <alignment horizontal="center"/>
    </xf>
    <xf numFmtId="1" fontId="49" fillId="6" borderId="10" xfId="0" applyNumberFormat="1" applyFont="1" applyFill="1" applyBorder="1" applyAlignment="1" applyProtection="1">
      <alignment horizontal="left" vertical="center"/>
    </xf>
    <xf numFmtId="0" fontId="35" fillId="0" borderId="32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/>
    </xf>
    <xf numFmtId="166" fontId="55" fillId="6" borderId="0" xfId="0" applyNumberFormat="1" applyFont="1" applyFill="1" applyBorder="1" applyAlignment="1">
      <alignment horizontal="right" indent="5"/>
    </xf>
    <xf numFmtId="166" fontId="40" fillId="0" borderId="0" xfId="21" applyNumberFormat="1" applyFont="1" applyAlignment="1">
      <alignment horizontal="right" vertical="center" readingOrder="2"/>
    </xf>
    <xf numFmtId="0" fontId="42" fillId="0" borderId="32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48" fillId="6" borderId="0" xfId="0" applyFont="1" applyFill="1" applyBorder="1" applyAlignment="1">
      <alignment horizontal="center" vertical="center"/>
    </xf>
    <xf numFmtId="164" fontId="44" fillId="6" borderId="0" xfId="7" applyFont="1" applyFill="1" applyBorder="1" applyAlignment="1">
      <alignment horizontal="center"/>
    </xf>
    <xf numFmtId="0" fontId="48" fillId="0" borderId="32" xfId="0" applyFont="1" applyFill="1" applyBorder="1" applyAlignment="1" applyProtection="1">
      <alignment horizontal="center" vertical="center"/>
    </xf>
    <xf numFmtId="0" fontId="48" fillId="0" borderId="8" xfId="0" applyFont="1" applyFill="1" applyBorder="1" applyAlignment="1" applyProtection="1">
      <alignment horizontal="center" vertical="center"/>
    </xf>
    <xf numFmtId="0" fontId="48" fillId="0" borderId="8" xfId="0" applyFont="1" applyFill="1" applyBorder="1" applyAlignment="1" applyProtection="1">
      <alignment horizontal="center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نمودارها!$D$4:$D$7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347-A1F2-E489AED90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588239293925453"/>
          <c:y val="9.9159873738255216E-2"/>
          <c:w val="0.6039737532808602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نمودارها!$E$4:$E$7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7-40F6-BEF9-04D5E5286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563741050692306"/>
          <c:y val="5.5555555555555455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نمودارها!$D$21:$D$24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B-44BF-ABFE-89B53CDB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466227435857848"/>
          <c:y val="4.1791860045447014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نمودارها!$E$21:$E$24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E-4A4D-BAE7-6ED369D75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نمودارها!$C$35</c:f>
              <c:strCache>
                <c:ptCount val="1"/>
                <c:pt idx="0">
                  <c:v>درآمدهای عمومی-محور چپ</c:v>
                </c:pt>
              </c:strCache>
            </c:strRef>
          </c:tx>
          <c:invertIfNegative val="0"/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نمودارها!$D$35:$L$35</c:f>
              <c:numCache>
                <c:formatCode>0.0</c:formatCode>
                <c:ptCount val="9"/>
                <c:pt idx="0">
                  <c:v>64.883464163528998</c:v>
                </c:pt>
                <c:pt idx="1">
                  <c:v>103.201149412557</c:v>
                </c:pt>
                <c:pt idx="2">
                  <c:v>96.122428882143979</c:v>
                </c:pt>
                <c:pt idx="3">
                  <c:v>156.85176073938999</c:v>
                </c:pt>
                <c:pt idx="4">
                  <c:v>103.9816648871461</c:v>
                </c:pt>
                <c:pt idx="5">
                  <c:v>109.63083517313399</c:v>
                </c:pt>
                <c:pt idx="6">
                  <c:v>120.83787890874396</c:v>
                </c:pt>
                <c:pt idx="7">
                  <c:v>99.796871766589931</c:v>
                </c:pt>
                <c:pt idx="8">
                  <c:v>154.08120893031401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00736"/>
        <c:axId val="132902272"/>
      </c:barChart>
      <c:lineChart>
        <c:grouping val="standard"/>
        <c:varyColors val="0"/>
        <c:ser>
          <c:idx val="1"/>
          <c:order val="1"/>
          <c:tx>
            <c:strRef>
              <c:f>نمودارها!$C$36</c:f>
              <c:strCache>
                <c:ptCount val="1"/>
                <c:pt idx="0">
                  <c:v>هزینه‌های جاری-محور راست</c:v>
                </c:pt>
              </c:strCache>
            </c:strRef>
          </c:tx>
          <c:marker>
            <c:symbol val="none"/>
          </c:marker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نمودارها!$D$36:$L$36</c:f>
              <c:numCache>
                <c:formatCode>0.0</c:formatCode>
                <c:ptCount val="9"/>
                <c:pt idx="0">
                  <c:v>124.722992803653</c:v>
                </c:pt>
                <c:pt idx="1">
                  <c:v>236.43745486890299</c:v>
                </c:pt>
                <c:pt idx="2">
                  <c:v>226.91658315846411</c:v>
                </c:pt>
                <c:pt idx="3">
                  <c:v>266.00805943749378</c:v>
                </c:pt>
                <c:pt idx="4">
                  <c:v>266.32693001868017</c:v>
                </c:pt>
                <c:pt idx="5">
                  <c:v>189.53026730508893</c:v>
                </c:pt>
                <c:pt idx="6">
                  <c:v>191.79226792330411</c:v>
                </c:pt>
                <c:pt idx="7">
                  <c:v>231.36765830261425</c:v>
                </c:pt>
                <c:pt idx="8">
                  <c:v>206.722455042749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9696"/>
        <c:axId val="132908160"/>
      </c:lineChart>
      <c:catAx>
        <c:axId val="132900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902272"/>
        <c:crosses val="autoZero"/>
        <c:auto val="1"/>
        <c:lblAlgn val="ctr"/>
        <c:lblOffset val="100"/>
        <c:noMultiLvlLbl val="0"/>
      </c:catAx>
      <c:valAx>
        <c:axId val="13290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2900736"/>
        <c:crosses val="autoZero"/>
        <c:crossBetween val="between"/>
      </c:valAx>
      <c:valAx>
        <c:axId val="1329081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2909696"/>
        <c:crosses val="max"/>
        <c:crossBetween val="between"/>
      </c:valAx>
      <c:catAx>
        <c:axId val="13290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908160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41747697240268E-2"/>
          <c:y val="5.1400554097404488E-2"/>
          <c:w val="0.8579165046055196"/>
          <c:h val="0.56791510968900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نمودارها!$D$42</c:f>
              <c:strCache>
                <c:ptCount val="1"/>
                <c:pt idx="0">
                  <c:v>سهم از کل درآمدهای مالیاتی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-4.0588527253278524E-3"/>
                  <c:y val="1.14695340501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نمودارها!$C$43:$C$52</c:f>
              <c:strCache>
                <c:ptCount val="10"/>
                <c:pt idx="0">
                  <c:v>مالیات‌های مستقیم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5">
                  <c:v>مالیات‌های غیرمستقیم</c:v>
                </c:pt>
                <c:pt idx="6">
                  <c:v>#REF!</c:v>
                </c:pt>
                <c:pt idx="7">
                  <c:v>#REF!</c:v>
                </c:pt>
                <c:pt idx="9">
                  <c:v>درآمدهای مالیاتی</c:v>
                </c:pt>
              </c:strCache>
            </c:strRef>
          </c:cat>
          <c:val>
            <c:numRef>
              <c:f>نمودارها!$D$43:$D$52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51040"/>
        <c:axId val="132973312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نمودارها!$E$42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175-4FFF-8BC9-34EAD3F4F084}"/>
              </c:ext>
            </c:extLst>
          </c:dPt>
          <c:dLbls>
            <c:dLbl>
              <c:idx val="10"/>
              <c:layout>
                <c:manualLayout>
                  <c:x val="0"/>
                  <c:y val="5.7347670250899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نمودارها!$B$43:$B$52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نمودارها!$E$43:$E$52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80736"/>
        <c:axId val="132974848"/>
      </c:barChart>
      <c:catAx>
        <c:axId val="1329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973312"/>
        <c:crosses val="autoZero"/>
        <c:auto val="1"/>
        <c:lblAlgn val="ctr"/>
        <c:lblOffset val="100"/>
        <c:noMultiLvlLbl val="0"/>
      </c:catAx>
      <c:valAx>
        <c:axId val="132973312"/>
        <c:scaling>
          <c:orientation val="minMax"/>
          <c:max val="200"/>
        </c:scaling>
        <c:delete val="0"/>
        <c:axPos val="l"/>
        <c:numFmt formatCode="0.0" sourceLinked="1"/>
        <c:majorTickMark val="out"/>
        <c:minorTickMark val="none"/>
        <c:tickLblPos val="nextTo"/>
        <c:crossAx val="132951040"/>
        <c:crosses val="autoZero"/>
        <c:crossBetween val="between"/>
      </c:valAx>
      <c:valAx>
        <c:axId val="132974848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2980736"/>
        <c:crosses val="max"/>
        <c:crossBetween val="between"/>
      </c:valAx>
      <c:catAx>
        <c:axId val="13298073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297484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0.17078645544865823"/>
          <c:y val="0.90315558942228957"/>
          <c:w val="0.59575440808983682"/>
          <c:h val="7.857443625998382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25127280776708E-2"/>
          <c:y val="7.9564098605321834E-2"/>
          <c:w val="0.82885494734846465"/>
          <c:h val="0.65461582008133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نمودارها!$D$59</c:f>
              <c:strCache>
                <c:ptCount val="1"/>
                <c:pt idx="0">
                  <c:v>سهم از سایر درآمدها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نمودارها!$C$60:$C$65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cat>
          <c:val>
            <c:numRef>
              <c:f>نمودارها!$D$60:$D$65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91616"/>
        <c:axId val="13300569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نمودارها!$E$59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نمودارها!$B$60:$B$65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نمودارها!$E$60:$E$65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08768"/>
        <c:axId val="133007232"/>
      </c:barChart>
      <c:catAx>
        <c:axId val="13299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05696"/>
        <c:crosses val="autoZero"/>
        <c:auto val="1"/>
        <c:lblAlgn val="ctr"/>
        <c:lblOffset val="100"/>
        <c:noMultiLvlLbl val="0"/>
      </c:catAx>
      <c:valAx>
        <c:axId val="133005696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crossAx val="132991616"/>
        <c:crosses val="autoZero"/>
        <c:crossBetween val="between"/>
      </c:valAx>
      <c:valAx>
        <c:axId val="133007232"/>
        <c:scaling>
          <c:orientation val="maxMin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crossAx val="133008768"/>
        <c:crosses val="max"/>
        <c:crossBetween val="between"/>
      </c:valAx>
      <c:catAx>
        <c:axId val="133008768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3007232"/>
        <c:crosses val="autoZero"/>
        <c:auto val="1"/>
        <c:lblAlgn val="ctr"/>
        <c:lblOffset val="100"/>
        <c:tickLblSkip val="1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2.8364924263984927E-2"/>
          <c:y val="0.91149374710514131"/>
          <c:w val="0.79731233595797646"/>
          <c:h val="8.550923781586118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نمودارها!$C$83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numRef>
              <c:f>نمودارها!$D$82:$F$82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نمودارها!$D$83:$F$83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1-4AB7-ADB2-90BA7931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9728"/>
        <c:axId val="133055616"/>
      </c:barChart>
      <c:catAx>
        <c:axId val="133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55616"/>
        <c:crosses val="autoZero"/>
        <c:auto val="1"/>
        <c:lblAlgn val="ctr"/>
        <c:lblOffset val="100"/>
        <c:noMultiLvlLbl val="0"/>
      </c:catAx>
      <c:valAx>
        <c:axId val="1330556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30497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نمودارها!$C$98</c:f>
              <c:strCache>
                <c:ptCount val="1"/>
                <c:pt idx="0">
                  <c:v>درآمدهای عمومی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نمودارها!$D$98:$F$98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475-8682-F6937E98B41F}"/>
            </c:ext>
          </c:extLst>
        </c:ser>
        <c:ser>
          <c:idx val="1"/>
          <c:order val="1"/>
          <c:tx>
            <c:strRef>
              <c:f>نمودارها!$C$99</c:f>
              <c:strCache>
                <c:ptCount val="1"/>
                <c:pt idx="0">
                  <c:v>هزینه‌های جاری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نمودارها!$D$99:$F$99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8000"/>
        <c:axId val="133089536"/>
      </c:barChart>
      <c:lineChart>
        <c:grouping val="standard"/>
        <c:varyColors val="0"/>
        <c:ser>
          <c:idx val="2"/>
          <c:order val="2"/>
          <c:tx>
            <c:strRef>
              <c:f>نمودارها!$C$100</c:f>
              <c:strCache>
                <c:ptCount val="1"/>
                <c:pt idx="0">
                  <c:v>کسری تراز عملیاتی</c:v>
                </c:pt>
              </c:strCache>
            </c:strRef>
          </c:tx>
          <c:marker>
            <c:symbol val="none"/>
          </c:marker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نمودارها!$D$100:$F$100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8000"/>
        <c:axId val="133089536"/>
      </c:lineChart>
      <c:catAx>
        <c:axId val="133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89536"/>
        <c:crosses val="autoZero"/>
        <c:auto val="1"/>
        <c:lblAlgn val="ctr"/>
        <c:lblOffset val="100"/>
        <c:noMultiLvlLbl val="0"/>
      </c:catAx>
      <c:valAx>
        <c:axId val="133089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088000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نمودارها!$C$114</c:f>
              <c:strCache>
                <c:ptCount val="1"/>
                <c:pt idx="0">
                  <c:v>وابستگي بودجه به نفت (درصد)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146F-4D71-88B1-674873C7F4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146F-4D71-88B1-674873C7F46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2-146F-4D71-88B1-674873C7F46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نمودارها!$D$113:$N$113</c:f>
              <c:strCache>
                <c:ptCount val="11"/>
                <c:pt idx="0">
                  <c:v>1391</c:v>
                </c:pt>
                <c:pt idx="1">
                  <c:v>1392</c:v>
                </c:pt>
                <c:pt idx="2">
                  <c:v>1393</c:v>
                </c:pt>
                <c:pt idx="3">
                  <c:v>1394</c:v>
                </c:pt>
                <c:pt idx="4">
                  <c:v>1395</c:v>
                </c:pt>
                <c:pt idx="5">
                  <c:v>1396</c:v>
                </c:pt>
                <c:pt idx="6">
                  <c:v>1397</c:v>
                </c:pt>
                <c:pt idx="8">
                  <c:v>سه‌ماهه 1396</c:v>
                </c:pt>
                <c:pt idx="9">
                  <c:v>سه‌ماهه 1397</c:v>
                </c:pt>
                <c:pt idx="10">
                  <c:v>سه‌ماهه 1398</c:v>
                </c:pt>
              </c:strCache>
            </c:strRef>
          </c:cat>
          <c:val>
            <c:numRef>
              <c:f>نمودارها!$D$114:$N$114</c:f>
              <c:numCache>
                <c:formatCode>0.0</c:formatCode>
                <c:ptCount val="11"/>
                <c:pt idx="0">
                  <c:v>40.012225949292883</c:v>
                </c:pt>
                <c:pt idx="1">
                  <c:v>43.471603504270007</c:v>
                </c:pt>
                <c:pt idx="2">
                  <c:v>35.284369437131907</c:v>
                </c:pt>
                <c:pt idx="3">
                  <c:v>33.677828757258965</c:v>
                </c:pt>
                <c:pt idx="4">
                  <c:v>28.337798687502417</c:v>
                </c:pt>
                <c:pt idx="5">
                  <c:v>32.032414298489989</c:v>
                </c:pt>
                <c:pt idx="6" formatCode="General">
                  <c:v>31.8</c:v>
                </c:pt>
                <c:pt idx="8">
                  <c:v>34.046022843379838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D71-88B1-674873C7F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45344"/>
        <c:axId val="133146880"/>
      </c:barChart>
      <c:catAx>
        <c:axId val="13314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46880"/>
        <c:crosses val="autoZero"/>
        <c:auto val="1"/>
        <c:lblAlgn val="ctr"/>
        <c:lblOffset val="100"/>
        <c:noMultiLvlLbl val="0"/>
      </c:catAx>
      <c:valAx>
        <c:axId val="13314688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1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نمودارها!$D$135</c:f>
              <c:strCache>
                <c:ptCount val="1"/>
                <c:pt idx="0">
                  <c:v>1396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نمودارها!$D$136:$D$138</c:f>
              <c:numCache>
                <c:formatCode>0.0</c:formatCode>
                <c:ptCount val="3"/>
                <c:pt idx="0">
                  <c:v>30.22</c:v>
                </c:pt>
                <c:pt idx="1">
                  <c:v>51</c:v>
                </c:pt>
                <c:pt idx="2" formatCode="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F-47A9-8EFA-FBF5359CED62}"/>
            </c:ext>
          </c:extLst>
        </c:ser>
        <c:ser>
          <c:idx val="1"/>
          <c:order val="1"/>
          <c:tx>
            <c:strRef>
              <c:f>نمودارها!$E$135</c:f>
              <c:strCache>
                <c:ptCount val="1"/>
                <c:pt idx="0">
                  <c:v>1397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نمودارها!$E$136:$E$138</c:f>
              <c:numCache>
                <c:formatCode>0.0</c:formatCode>
                <c:ptCount val="3"/>
                <c:pt idx="0">
                  <c:v>33.325000000000003</c:v>
                </c:pt>
                <c:pt idx="1">
                  <c:v>70.222222222222229</c:v>
                </c:pt>
                <c:pt idx="2" formatCode="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8F-47A9-8EFA-FBF5359C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76704"/>
        <c:axId val="133178496"/>
      </c:barChart>
      <c:catAx>
        <c:axId val="13317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78496"/>
        <c:crosses val="autoZero"/>
        <c:auto val="1"/>
        <c:lblAlgn val="ctr"/>
        <c:lblOffset val="100"/>
        <c:noMultiLvlLbl val="0"/>
      </c:catAx>
      <c:valAx>
        <c:axId val="133178496"/>
        <c:scaling>
          <c:orientation val="minMax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crossAx val="13317670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6804220884229"/>
          <c:y val="4.6260498687663965E-2"/>
          <c:w val="0.77697333587460415"/>
          <c:h val="0.7056522309711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نمودارها!$C$153</c:f>
              <c:strCache>
                <c:ptCount val="1"/>
                <c:pt idx="0">
                  <c:v>پرداخت‌های عمرانی-محور چپ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نمودارها!$D$153:$L$153</c:f>
              <c:numCache>
                <c:formatCode>0.0</c:formatCode>
                <c:ptCount val="9"/>
                <c:pt idx="0">
                  <c:v>3479.9989999999998</c:v>
                </c:pt>
                <c:pt idx="1">
                  <c:v>8245.8590000000004</c:v>
                </c:pt>
                <c:pt idx="2">
                  <c:v>214974.15400000001</c:v>
                </c:pt>
                <c:pt idx="3">
                  <c:v>7392.8239999999641</c:v>
                </c:pt>
                <c:pt idx="4">
                  <c:v>14976.46100000001</c:v>
                </c:pt>
                <c:pt idx="5">
                  <c:v>17358.198000000004</c:v>
                </c:pt>
                <c:pt idx="6">
                  <c:v>47377.512389999989</c:v>
                </c:pt>
                <c:pt idx="7">
                  <c:v>15829.938109999988</c:v>
                </c:pt>
                <c:pt idx="8" formatCode="General">
                  <c:v>-8.6699599999999606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45184"/>
        <c:axId val="133259264"/>
      </c:barChart>
      <c:barChart>
        <c:barDir val="col"/>
        <c:grouping val="clustered"/>
        <c:varyColors val="0"/>
        <c:ser>
          <c:idx val="2"/>
          <c:order val="2"/>
          <c:tx>
            <c:strRef>
              <c:f>نمودارها!$C$155</c:f>
              <c:strCache>
                <c:ptCount val="1"/>
                <c:pt idx="0">
                  <c:v>درصد تحقق پرداخت عمراني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4.2448889274397895E-3"/>
                  <c:y val="1.333403324584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B-4DE8-ADB5-D8FCB77952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نمودارها!$D$151:$L$151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نمودارها!$D$155:$L$155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62720"/>
        <c:axId val="133261184"/>
      </c:barChart>
      <c:lineChart>
        <c:grouping val="standard"/>
        <c:varyColors val="0"/>
        <c:ser>
          <c:idx val="1"/>
          <c:order val="1"/>
          <c:tx>
            <c:strRef>
              <c:f>نمودارها!$C$154</c:f>
              <c:strCache>
                <c:ptCount val="1"/>
                <c:pt idx="0">
                  <c:v>منابع حاصل از تخصیص اوراق مالی اسلامی-محور چپ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نمودارها!$D$154:$L$154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-26.420831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245184"/>
        <c:axId val="133259264"/>
      </c:lineChart>
      <c:catAx>
        <c:axId val="13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259264"/>
        <c:crosses val="autoZero"/>
        <c:auto val="1"/>
        <c:lblAlgn val="ctr"/>
        <c:lblOffset val="100"/>
        <c:noMultiLvlLbl val="0"/>
      </c:catAx>
      <c:valAx>
        <c:axId val="133259264"/>
        <c:scaling>
          <c:orientation val="minMax"/>
          <c:max val="4500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133245184"/>
        <c:crosses val="autoZero"/>
        <c:crossBetween val="between"/>
        <c:dispUnits>
          <c:builtInUnit val="thousands"/>
        </c:dispUnits>
      </c:valAx>
      <c:valAx>
        <c:axId val="133261184"/>
        <c:scaling>
          <c:orientation val="maxMin"/>
          <c:max val="1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33262720"/>
        <c:crosses val="max"/>
        <c:crossBetween val="between"/>
      </c:valAx>
      <c:catAx>
        <c:axId val="13326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326118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4.7022913576398484E-2"/>
          <c:y val="0.81146358267716456"/>
          <c:w val="0.88571016500687716"/>
          <c:h val="0.16873950131234078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نمودارها!$D$176</c:f>
              <c:strCache>
                <c:ptCount val="1"/>
                <c:pt idx="0">
                  <c:v>سهم از واگذاری دارایی‌های مالی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3.73673111056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نمودارها!$D$177:$D$181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91008"/>
        <c:axId val="13448473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نمودارها!$E$176</c:f>
              <c:strCache>
                <c:ptCount val="1"/>
                <c:pt idx="0">
                  <c:v>درصد تحقق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5058885221891951E-3"/>
                  <c:y val="2.3354937229537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نمودارها!$E$177:$E$181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92160"/>
        <c:axId val="134486272"/>
      </c:barChart>
      <c:catAx>
        <c:axId val="1332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484736"/>
        <c:crosses val="autoZero"/>
        <c:auto val="1"/>
        <c:lblAlgn val="ctr"/>
        <c:lblOffset val="100"/>
        <c:noMultiLvlLbl val="0"/>
      </c:catAx>
      <c:valAx>
        <c:axId val="134484736"/>
        <c:scaling>
          <c:orientation val="minMax"/>
          <c:max val="100"/>
        </c:scaling>
        <c:delete val="0"/>
        <c:axPos val="l"/>
        <c:numFmt formatCode="0.0" sourceLinked="1"/>
        <c:majorTickMark val="out"/>
        <c:minorTickMark val="none"/>
        <c:tickLblPos val="nextTo"/>
        <c:crossAx val="133291008"/>
        <c:crosses val="autoZero"/>
        <c:crossBetween val="between"/>
      </c:valAx>
      <c:valAx>
        <c:axId val="134486272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4492160"/>
        <c:crosses val="max"/>
        <c:crossBetween val="between"/>
      </c:valAx>
      <c:catAx>
        <c:axId val="1344921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4486272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نمودارها!$C$192</c:f>
              <c:strCache>
                <c:ptCount val="1"/>
                <c:pt idx="0">
                  <c:v>کسری تراز عملیاتی و سرمایه‌ای(عملکرد)</c:v>
                </c:pt>
              </c:strCache>
            </c:strRef>
          </c:tx>
          <c:spPr>
            <a:ln>
              <a:prstDash val="dash"/>
            </a:ln>
          </c:spPr>
          <c:invertIfNegative val="0"/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نمودارها!$D$192:$L$192</c:f>
              <c:numCache>
                <c:formatCode>0.0</c:formatCode>
                <c:ptCount val="9"/>
                <c:pt idx="0">
                  <c:v>32886.606198902999</c:v>
                </c:pt>
                <c:pt idx="1">
                  <c:v>54631.17282159</c:v>
                </c:pt>
                <c:pt idx="2">
                  <c:v>202556.43152938501</c:v>
                </c:pt>
                <c:pt idx="3">
                  <c:v>22449.707673432</c:v>
                </c:pt>
                <c:pt idx="4">
                  <c:v>56575.095411017202</c:v>
                </c:pt>
                <c:pt idx="5">
                  <c:v>3156.48843870882</c:v>
                </c:pt>
                <c:pt idx="6">
                  <c:v>19178.758082004999</c:v>
                </c:pt>
                <c:pt idx="7">
                  <c:v>35015.809487590501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10464"/>
        <c:axId val="134512000"/>
      </c:barChart>
      <c:lineChart>
        <c:grouping val="standard"/>
        <c:varyColors val="0"/>
        <c:ser>
          <c:idx val="0"/>
          <c:order val="0"/>
          <c:tx>
            <c:strRef>
              <c:f>نمودارها!$C$191</c:f>
              <c:strCache>
                <c:ptCount val="1"/>
                <c:pt idx="0">
                  <c:v>کسری تراز عملیاتی و سرمایه‌ای(مصوب)</c:v>
                </c:pt>
              </c:strCache>
            </c:strRef>
          </c:tx>
          <c:marker>
            <c:symbol val="none"/>
          </c:marker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نمودارها!$D$191:$L$191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10464"/>
        <c:axId val="134512000"/>
      </c:lineChart>
      <c:catAx>
        <c:axId val="13451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512000"/>
        <c:crosses val="autoZero"/>
        <c:auto val="1"/>
        <c:lblAlgn val="ctr"/>
        <c:lblOffset val="100"/>
        <c:noMultiLvlLbl val="0"/>
      </c:catAx>
      <c:valAx>
        <c:axId val="13451200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1046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نمودارها!$C$209</c:f>
              <c:strCache>
                <c:ptCount val="1"/>
                <c:pt idx="0">
                  <c:v>نسبت تراز عملیاتی به منابع بودجه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نمودارها!$D$209:$F$209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724-A634-D17CB423A1E6}"/>
            </c:ext>
          </c:extLst>
        </c:ser>
        <c:ser>
          <c:idx val="1"/>
          <c:order val="1"/>
          <c:tx>
            <c:strRef>
              <c:f>نمودارها!$C$210</c:f>
              <c:strCache>
                <c:ptCount val="1"/>
                <c:pt idx="0">
                  <c:v>نسبت تراز عملیاتی به هزینه‌های جاری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نمودارها!$D$210:$F$210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5-4724-A634-D17CB423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79328"/>
        <c:axId val="134580864"/>
      </c:barChart>
      <c:catAx>
        <c:axId val="1345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580864"/>
        <c:crosses val="autoZero"/>
        <c:auto val="1"/>
        <c:lblAlgn val="ctr"/>
        <c:lblOffset val="100"/>
        <c:noMultiLvlLbl val="0"/>
      </c:catAx>
      <c:valAx>
        <c:axId val="1345808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793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3642015846269"/>
          <c:y val="5.0413906604020904E-2"/>
          <c:w val="0.81146195139873167"/>
          <c:h val="0.71323188959725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نمودارها!$C$196</c:f>
              <c:strCache>
                <c:ptCount val="1"/>
                <c:pt idx="0">
                  <c:v>مصوب- محور چپ</c:v>
                </c:pt>
              </c:strCache>
            </c:strRef>
          </c:tx>
          <c:invertIfNegative val="0"/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نمودارها!$D$196:$L$196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65184"/>
        <c:axId val="134775168"/>
      </c:barChart>
      <c:lineChart>
        <c:grouping val="standard"/>
        <c:varyColors val="0"/>
        <c:ser>
          <c:idx val="1"/>
          <c:order val="1"/>
          <c:tx>
            <c:strRef>
              <c:f>نمودارها!$C$197</c:f>
              <c:strCache>
                <c:ptCount val="1"/>
                <c:pt idx="0">
                  <c:v>عملکرد-محور راست</c:v>
                </c:pt>
              </c:strCache>
            </c:strRef>
          </c:tx>
          <c:marker>
            <c:symbol val="none"/>
          </c:marker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نمودارها!$D$197:$L$197</c:f>
              <c:numCache>
                <c:formatCode>0.0</c:formatCode>
                <c:ptCount val="9"/>
                <c:pt idx="0">
                  <c:v>32.886606198902996</c:v>
                </c:pt>
                <c:pt idx="1">
                  <c:v>87.517779020492995</c:v>
                </c:pt>
                <c:pt idx="2">
                  <c:v>290.07421054987799</c:v>
                </c:pt>
                <c:pt idx="3">
                  <c:v>312.52391822330998</c:v>
                </c:pt>
                <c:pt idx="4">
                  <c:v>369.09901363432721</c:v>
                </c:pt>
                <c:pt idx="5">
                  <c:v>372.25550207303604</c:v>
                </c:pt>
                <c:pt idx="6">
                  <c:v>391.43426015504104</c:v>
                </c:pt>
                <c:pt idx="7">
                  <c:v>426.45006964263155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78240"/>
        <c:axId val="134776704"/>
      </c:lineChart>
      <c:catAx>
        <c:axId val="13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4775168"/>
        <c:crosses val="autoZero"/>
        <c:auto val="1"/>
        <c:lblAlgn val="ctr"/>
        <c:lblOffset val="100"/>
        <c:noMultiLvlLbl val="0"/>
      </c:catAx>
      <c:valAx>
        <c:axId val="1347751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4765184"/>
        <c:crosses val="autoZero"/>
        <c:crossBetween val="between"/>
      </c:valAx>
      <c:valAx>
        <c:axId val="1347767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4778240"/>
        <c:crosses val="max"/>
        <c:crossBetween val="between"/>
      </c:valAx>
      <c:catAx>
        <c:axId val="13477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776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"/>
          <c:y val="0.85834357984430543"/>
          <c:w val="0.96130276483189958"/>
          <c:h val="0.10973128338756893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نمودارها!$C$229</c:f>
              <c:strCache>
                <c:ptCount val="1"/>
                <c:pt idx="0">
                  <c:v>مصوب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نمودارها!$D$229:$L$229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A-4EA3-B0FF-1214D762B3C1}"/>
            </c:ext>
          </c:extLst>
        </c:ser>
        <c:ser>
          <c:idx val="1"/>
          <c:order val="1"/>
          <c:tx>
            <c:strRef>
              <c:f>نمودارها!$C$230</c:f>
              <c:strCache>
                <c:ptCount val="1"/>
                <c:pt idx="0">
                  <c:v>عملکرد</c:v>
                </c:pt>
              </c:strCache>
            </c:strRef>
          </c:tx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نمودارها!$D$230:$L$230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A-4EA3-B0FF-1214D762B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840"/>
        <c:axId val="134805376"/>
      </c:lineChart>
      <c:catAx>
        <c:axId val="1348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805376"/>
        <c:crosses val="autoZero"/>
        <c:auto val="1"/>
        <c:lblAlgn val="ctr"/>
        <c:lblOffset val="100"/>
        <c:noMultiLvlLbl val="0"/>
      </c:catAx>
      <c:valAx>
        <c:axId val="134805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80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نمودارها!$C$250:$C$254</c:f>
              <c:strCache>
                <c:ptCount val="5"/>
                <c:pt idx="0">
                  <c:v> واگذاري شركت‌هاي دولتي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سایر</c:v>
                </c:pt>
              </c:strCache>
            </c:strRef>
          </c:cat>
          <c:val>
            <c:numRef>
              <c:f>نمودارها!$D$250:$D$254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B-4AEA-B4CE-34550F37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نمودارها!$C$276:$C$281</c:f>
              <c:strCache>
                <c:ptCount val="6"/>
                <c:pt idx="0">
                  <c:v>#REF!</c:v>
                </c:pt>
                <c:pt idx="1">
                  <c:v>ساير درآمدها 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سایر</c:v>
                </c:pt>
              </c:strCache>
            </c:strRef>
          </c:cat>
          <c:val>
            <c:numRef>
              <c:f>نمودارها!$E$276:$E$281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B-4CBC-A9BC-0E1D3205A9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نمودارها!$C$288:$C$291</c:f>
              <c:strCache>
                <c:ptCount val="4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تنخواه هزینه ها</c:v>
                </c:pt>
              </c:strCache>
            </c:strRef>
          </c:cat>
          <c:val>
            <c:numRef>
              <c:f>نمودارها!$E$288:$E$291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F-4DCB-B410-07AD67680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نمودارها!$C$303:$C$305</c:f>
              <c:strCache>
                <c:ptCount val="3"/>
                <c:pt idx="0">
                  <c:v>پنج ماهه 1396</c:v>
                </c:pt>
                <c:pt idx="1">
                  <c:v>پنج ماهه 1397</c:v>
                </c:pt>
                <c:pt idx="2">
                  <c:v>پنج ماهه 1398</c:v>
                </c:pt>
              </c:strCache>
            </c:strRef>
          </c:cat>
          <c:val>
            <c:numRef>
              <c:f>نمودارها!$D$303:$D$305</c:f>
              <c:numCache>
                <c:formatCode>0.0</c:formatCode>
                <c:ptCount val="3"/>
                <c:pt idx="0">
                  <c:v>34.504722842296978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5-43CF-8190-DAEFD7590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312128"/>
        <c:axId val="135313664"/>
      </c:barChart>
      <c:catAx>
        <c:axId val="135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5313664"/>
        <c:crosses val="autoZero"/>
        <c:auto val="1"/>
        <c:lblAlgn val="ctr"/>
        <c:lblOffset val="100"/>
        <c:noMultiLvlLbl val="0"/>
      </c:catAx>
      <c:valAx>
        <c:axId val="1353136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5312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0</xdr:row>
      <xdr:rowOff>142875</xdr:rowOff>
    </xdr:from>
    <xdr:to>
      <xdr:col>11</xdr:col>
      <xdr:colOff>238126</xdr:colOff>
      <xdr:row>13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0</xdr:row>
      <xdr:rowOff>104776</xdr:rowOff>
    </xdr:from>
    <xdr:to>
      <xdr:col>17</xdr:col>
      <xdr:colOff>571500</xdr:colOff>
      <xdr:row>13</xdr:row>
      <xdr:rowOff>28576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38100</xdr:rowOff>
    </xdr:from>
    <xdr:to>
      <xdr:col>11</xdr:col>
      <xdr:colOff>276225</xdr:colOff>
      <xdr:row>28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466725</xdr:colOff>
      <xdr:row>15</xdr:row>
      <xdr:rowOff>47625</xdr:rowOff>
    </xdr:from>
    <xdr:to>
      <xdr:col>17</xdr:col>
      <xdr:colOff>542925</xdr:colOff>
      <xdr:row>28</xdr:row>
      <xdr:rowOff>123826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419966</xdr:colOff>
      <xdr:row>29</xdr:row>
      <xdr:rowOff>39832</xdr:rowOff>
    </xdr:from>
    <xdr:to>
      <xdr:col>19</xdr:col>
      <xdr:colOff>118630</xdr:colOff>
      <xdr:row>40</xdr:row>
      <xdr:rowOff>20782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319521</xdr:colOff>
      <xdr:row>39</xdr:row>
      <xdr:rowOff>120362</xdr:rowOff>
    </xdr:from>
    <xdr:to>
      <xdr:col>11</xdr:col>
      <xdr:colOff>121228</xdr:colOff>
      <xdr:row>57</xdr:row>
      <xdr:rowOff>129886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200025</xdr:colOff>
      <xdr:row>60</xdr:row>
      <xdr:rowOff>38100</xdr:rowOff>
    </xdr:from>
    <xdr:to>
      <xdr:col>11</xdr:col>
      <xdr:colOff>314325</xdr:colOff>
      <xdr:row>79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542925</xdr:colOff>
      <xdr:row>80</xdr:row>
      <xdr:rowOff>76200</xdr:rowOff>
    </xdr:from>
    <xdr:to>
      <xdr:col>14</xdr:col>
      <xdr:colOff>66675</xdr:colOff>
      <xdr:row>94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400050</xdr:colOff>
      <xdr:row>96</xdr:row>
      <xdr:rowOff>38100</xdr:rowOff>
    </xdr:from>
    <xdr:to>
      <xdr:col>13</xdr:col>
      <xdr:colOff>533400</xdr:colOff>
      <xdr:row>109</xdr:row>
      <xdr:rowOff>180975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519545</xdr:colOff>
      <xdr:row>114</xdr:row>
      <xdr:rowOff>190500</xdr:rowOff>
    </xdr:from>
    <xdr:to>
      <xdr:col>14</xdr:col>
      <xdr:colOff>60613</xdr:colOff>
      <xdr:row>128</xdr:row>
      <xdr:rowOff>147205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190500</xdr:colOff>
      <xdr:row>130</xdr:row>
      <xdr:rowOff>129887</xdr:rowOff>
    </xdr:from>
    <xdr:to>
      <xdr:col>12</xdr:col>
      <xdr:colOff>25976</xdr:colOff>
      <xdr:row>144</xdr:row>
      <xdr:rowOff>86592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441616</xdr:colOff>
      <xdr:row>157</xdr:row>
      <xdr:rowOff>0</xdr:rowOff>
    </xdr:from>
    <xdr:to>
      <xdr:col>12</xdr:col>
      <xdr:colOff>233796</xdr:colOff>
      <xdr:row>172</xdr:row>
      <xdr:rowOff>60614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259772</xdr:colOff>
      <xdr:row>173</xdr:row>
      <xdr:rowOff>69274</xdr:rowOff>
    </xdr:from>
    <xdr:to>
      <xdr:col>13</xdr:col>
      <xdr:colOff>303067</xdr:colOff>
      <xdr:row>187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632114</xdr:colOff>
      <xdr:row>195</xdr:row>
      <xdr:rowOff>164523</xdr:rowOff>
    </xdr:from>
    <xdr:to>
      <xdr:col>18</xdr:col>
      <xdr:colOff>112568</xdr:colOff>
      <xdr:row>209</xdr:row>
      <xdr:rowOff>86592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796637</xdr:colOff>
      <xdr:row>210</xdr:row>
      <xdr:rowOff>181841</xdr:rowOff>
    </xdr:from>
    <xdr:to>
      <xdr:col>9</xdr:col>
      <xdr:colOff>666750</xdr:colOff>
      <xdr:row>222</xdr:row>
      <xdr:rowOff>164523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762000</xdr:colOff>
      <xdr:row>198</xdr:row>
      <xdr:rowOff>95250</xdr:rowOff>
    </xdr:from>
    <xdr:to>
      <xdr:col>8</xdr:col>
      <xdr:colOff>95250</xdr:colOff>
      <xdr:row>207</xdr:row>
      <xdr:rowOff>121229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320386</xdr:colOff>
      <xdr:row>232</xdr:row>
      <xdr:rowOff>8658</xdr:rowOff>
    </xdr:from>
    <xdr:to>
      <xdr:col>9</xdr:col>
      <xdr:colOff>536863</xdr:colOff>
      <xdr:row>244</xdr:row>
      <xdr:rowOff>181841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467590</xdr:colOff>
      <xdr:row>247</xdr:row>
      <xdr:rowOff>121228</xdr:rowOff>
    </xdr:from>
    <xdr:to>
      <xdr:col>10</xdr:col>
      <xdr:colOff>25976</xdr:colOff>
      <xdr:row>258</xdr:row>
      <xdr:rowOff>121228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233795</xdr:colOff>
      <xdr:row>267</xdr:row>
      <xdr:rowOff>43296</xdr:rowOff>
    </xdr:from>
    <xdr:to>
      <xdr:col>13</xdr:col>
      <xdr:colOff>129886</xdr:colOff>
      <xdr:row>281</xdr:row>
      <xdr:rowOff>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225137</xdr:colOff>
      <xdr:row>286</xdr:row>
      <xdr:rowOff>69272</xdr:rowOff>
    </xdr:from>
    <xdr:to>
      <xdr:col>11</xdr:col>
      <xdr:colOff>415637</xdr:colOff>
      <xdr:row>300</xdr:row>
      <xdr:rowOff>25977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121228</xdr:colOff>
      <xdr:row>301</xdr:row>
      <xdr:rowOff>8659</xdr:rowOff>
    </xdr:from>
    <xdr:to>
      <xdr:col>11</xdr:col>
      <xdr:colOff>311728</xdr:colOff>
      <xdr:row>314</xdr:row>
      <xdr:rowOff>164523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&#1711;&#1586;&#1575;&#1585;&#1588;&#8204;&#1607;&#1575;%20&#1608;%20&#1575;&#1592;&#1607;&#1575;&#1585;&#1606;&#1592;&#1585;%20&#1607;&#1575;\1397\&#1711;&#1586;&#1575;&#1585;&#1588;%20&#1575;&#1583;&#1608;&#1575;&#1585;&#1610;\9-&#1606;&#1607;%20&#1605;&#1575;&#1607;&#1607;\&#1608;&#1590;&#1593;%20&#1605;&#1575;&#1604;&#1610;\&#1606;&#1601;&#1578;%20&#1582;&#1575;&#1605;%20&#1608;%20&#1605;&#1610;&#1593;&#1575;&#1606;&#1575;&#1578;%20&#1711;&#1575;&#1586;&#1610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>
            <v>33325</v>
          </cell>
        </row>
        <row r="32">
          <cell r="D32">
            <v>70.222222222222229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E23">
            <v>-422802.16995007126</v>
          </cell>
        </row>
        <row r="26">
          <cell r="G26">
            <v>727775.69951199507</v>
          </cell>
        </row>
      </sheetData>
      <sheetData sheetId="10"/>
      <sheetData sheetId="11"/>
      <sheetData sheetId="12"/>
      <sheetData sheetId="13"/>
      <sheetData sheetId="14">
        <row r="26">
          <cell r="F26">
            <v>313805.00738999998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G14">
            <v>503435.35115881299</v>
          </cell>
        </row>
        <row r="26">
          <cell r="G26">
            <v>630564.58112540399</v>
          </cell>
        </row>
      </sheetData>
      <sheetData sheetId="10"/>
      <sheetData sheetId="11">
        <row r="9">
          <cell r="E9">
            <v>122182.27514225799</v>
          </cell>
        </row>
      </sheetData>
      <sheetData sheetId="12"/>
      <sheetData sheetId="13"/>
      <sheetData sheetId="14">
        <row r="26">
          <cell r="F26">
            <v>266427.495</v>
          </cell>
        </row>
      </sheetData>
      <sheetData sheetId="15">
        <row r="8">
          <cell r="F8">
            <v>419257.09907303599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42945.057433210997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134319.53958318499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165281.72218025601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6">
          <cell r="L26">
            <v>196288.55054976404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A1:T56"/>
  <sheetViews>
    <sheetView rightToLeft="1" tabSelected="1" view="pageBreakPreview" zoomScale="70" zoomScaleNormal="55" zoomScaleSheetLayoutView="70" workbookViewId="0">
      <selection activeCell="D7" sqref="D7"/>
    </sheetView>
  </sheetViews>
  <sheetFormatPr defaultColWidth="7.85546875" defaultRowHeight="18.75"/>
  <cols>
    <col min="1" max="1" width="7.85546875" style="120"/>
    <col min="2" max="2" width="3.85546875" style="129" customWidth="1"/>
    <col min="3" max="3" width="4" style="120" customWidth="1"/>
    <col min="4" max="4" width="91.7109375" style="120" bestFit="1" customWidth="1"/>
    <col min="5" max="5" width="13.7109375" style="232" customWidth="1"/>
    <col min="6" max="6" width="13.7109375" style="233" customWidth="1"/>
    <col min="7" max="7" width="13.7109375" style="120" customWidth="1"/>
    <col min="8" max="8" width="1.5703125" style="120" customWidth="1"/>
    <col min="9" max="10" width="14.85546875" style="120" customWidth="1"/>
    <col min="11" max="11" width="1.5703125" style="120" customWidth="1"/>
    <col min="12" max="13" width="11.28515625" style="120" customWidth="1"/>
    <col min="14" max="14" width="1.5703125" style="120" customWidth="1"/>
    <col min="15" max="15" width="12.85546875" style="120" bestFit="1" customWidth="1"/>
    <col min="16" max="16" width="13.7109375" style="120" customWidth="1"/>
    <col min="17" max="17" width="14.8554687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1:19" ht="21" customHeight="1"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</row>
    <row r="2" spans="1:19" ht="30" customHeight="1">
      <c r="B2" s="249"/>
      <c r="C2" s="249"/>
      <c r="D2" s="250"/>
      <c r="E2" s="427" t="s">
        <v>120</v>
      </c>
      <c r="F2" s="427"/>
      <c r="G2" s="427"/>
      <c r="H2" s="427"/>
      <c r="I2" s="427"/>
      <c r="J2" s="267"/>
      <c r="K2" s="251"/>
      <c r="L2" s="251"/>
      <c r="M2" s="251"/>
      <c r="N2" s="252"/>
      <c r="O2" s="428"/>
      <c r="P2" s="428"/>
    </row>
    <row r="3" spans="1:19" ht="26.25" customHeight="1" thickBot="1">
      <c r="A3" s="434" t="s">
        <v>226</v>
      </c>
      <c r="B3" s="434"/>
      <c r="C3" s="434"/>
      <c r="D3" s="434"/>
      <c r="E3" s="429" t="s">
        <v>121</v>
      </c>
      <c r="F3" s="429"/>
      <c r="G3" s="429"/>
      <c r="H3" s="429"/>
      <c r="I3" s="429"/>
      <c r="J3" s="249"/>
      <c r="K3" s="253"/>
      <c r="L3" s="251"/>
      <c r="M3" s="251"/>
      <c r="N3" s="251"/>
      <c r="O3" s="430">
        <v>1</v>
      </c>
      <c r="P3" s="430"/>
    </row>
    <row r="4" spans="1:19" ht="24" customHeight="1">
      <c r="B4" s="293"/>
      <c r="C4" s="294"/>
      <c r="D4" s="294"/>
      <c r="E4" s="431" t="s">
        <v>198</v>
      </c>
      <c r="F4" s="431"/>
      <c r="G4" s="431"/>
      <c r="H4" s="362"/>
      <c r="I4" s="295" t="s">
        <v>122</v>
      </c>
      <c r="J4" s="295" t="s">
        <v>88</v>
      </c>
      <c r="K4" s="296"/>
      <c r="L4" s="296"/>
      <c r="M4" s="296"/>
      <c r="N4" s="296"/>
      <c r="O4" s="297"/>
      <c r="P4" s="297"/>
    </row>
    <row r="5" spans="1:19" ht="24" customHeight="1">
      <c r="B5" s="298"/>
      <c r="C5" s="299"/>
      <c r="D5" s="300"/>
      <c r="E5" s="432"/>
      <c r="F5" s="432"/>
      <c r="G5" s="432"/>
      <c r="H5" s="368"/>
      <c r="I5" s="363" t="s">
        <v>89</v>
      </c>
      <c r="J5" s="363" t="s">
        <v>199</v>
      </c>
      <c r="K5" s="301"/>
      <c r="L5" s="433" t="s">
        <v>54</v>
      </c>
      <c r="M5" s="433"/>
      <c r="N5" s="301"/>
      <c r="O5" s="433" t="s">
        <v>55</v>
      </c>
      <c r="P5" s="433"/>
    </row>
    <row r="6" spans="1:19" ht="26.25">
      <c r="B6" s="298"/>
      <c r="C6" s="299"/>
      <c r="D6" s="300"/>
      <c r="E6" s="302">
        <v>1401</v>
      </c>
      <c r="F6" s="302">
        <v>1402</v>
      </c>
      <c r="G6" s="302">
        <v>1403</v>
      </c>
      <c r="H6" s="302"/>
      <c r="I6" s="303">
        <v>1403</v>
      </c>
      <c r="J6" s="303">
        <v>1403</v>
      </c>
      <c r="K6" s="303"/>
      <c r="L6" s="302">
        <v>1402</v>
      </c>
      <c r="M6" s="302">
        <v>1403</v>
      </c>
      <c r="N6" s="303"/>
      <c r="O6" s="302">
        <v>1402</v>
      </c>
      <c r="P6" s="302">
        <v>1403</v>
      </c>
    </row>
    <row r="7" spans="1:19" s="128" customFormat="1" ht="30" customHeight="1">
      <c r="B7" s="403" t="s">
        <v>13</v>
      </c>
      <c r="C7" s="404"/>
      <c r="D7" s="405"/>
      <c r="E7" s="304">
        <v>759.61255190712188</v>
      </c>
      <c r="F7" s="304">
        <v>1301.457313714307</v>
      </c>
      <c r="G7" s="304">
        <v>1661.381955814476</v>
      </c>
      <c r="H7" s="304"/>
      <c r="I7" s="304">
        <v>15983</v>
      </c>
      <c r="J7" s="304">
        <v>2714.9205479452057</v>
      </c>
      <c r="K7" s="305"/>
      <c r="L7" s="376">
        <v>100</v>
      </c>
      <c r="M7" s="376">
        <v>100</v>
      </c>
      <c r="N7" s="391"/>
      <c r="O7" s="376">
        <v>71.331728319496847</v>
      </c>
      <c r="P7" s="376">
        <v>27.655508813651238</v>
      </c>
      <c r="R7" s="265"/>
    </row>
    <row r="8" spans="1:19" ht="30" customHeight="1">
      <c r="B8" s="381"/>
      <c r="C8" s="380" t="s">
        <v>56</v>
      </c>
      <c r="D8" s="406"/>
      <c r="E8" s="306">
        <v>641.31325547789686</v>
      </c>
      <c r="F8" s="306">
        <v>959.43606726760595</v>
      </c>
      <c r="G8" s="306">
        <v>1373.0910415317569</v>
      </c>
      <c r="H8" s="306"/>
      <c r="I8" s="306">
        <v>13645</v>
      </c>
      <c r="J8" s="306">
        <v>2317.7808219178082</v>
      </c>
      <c r="K8" s="307"/>
      <c r="L8" s="377">
        <v>73.720133357998037</v>
      </c>
      <c r="M8" s="377">
        <v>82.647523450356289</v>
      </c>
      <c r="N8" s="392"/>
      <c r="O8" s="377">
        <v>49.604901983921849</v>
      </c>
      <c r="P8" s="377">
        <v>43.114386500207985</v>
      </c>
      <c r="Q8" s="121"/>
      <c r="R8" s="265"/>
    </row>
    <row r="9" spans="1:19" ht="30" customHeight="1">
      <c r="B9" s="381"/>
      <c r="C9" s="381" t="s">
        <v>50</v>
      </c>
      <c r="D9" s="380"/>
      <c r="E9" s="306">
        <v>118.29929642922501</v>
      </c>
      <c r="F9" s="306">
        <v>342.02124644670101</v>
      </c>
      <c r="G9" s="306">
        <v>288.29091428271903</v>
      </c>
      <c r="H9" s="306"/>
      <c r="I9" s="306">
        <v>2338</v>
      </c>
      <c r="J9" s="306">
        <v>397.13972602739722</v>
      </c>
      <c r="K9" s="307"/>
      <c r="L9" s="377">
        <v>26.279866642001963</v>
      </c>
      <c r="M9" s="377">
        <v>17.352476549643715</v>
      </c>
      <c r="N9" s="392"/>
      <c r="O9" s="377">
        <v>189.11519913503651</v>
      </c>
      <c r="P9" s="377">
        <v>-15.709647491842318</v>
      </c>
      <c r="Q9" s="121"/>
      <c r="R9" s="265"/>
    </row>
    <row r="10" spans="1:19" s="128" customFormat="1" ht="30" customHeight="1">
      <c r="B10" s="407" t="s">
        <v>46</v>
      </c>
      <c r="C10" s="407"/>
      <c r="D10" s="379"/>
      <c r="E10" s="308">
        <v>1010.585526106095</v>
      </c>
      <c r="F10" s="308">
        <v>1664.0909399439602</v>
      </c>
      <c r="G10" s="308">
        <v>2192.4594917252343</v>
      </c>
      <c r="H10" s="308"/>
      <c r="I10" s="308">
        <v>18787.400000000001</v>
      </c>
      <c r="J10" s="308">
        <v>3191.2843835616441</v>
      </c>
      <c r="K10" s="309">
        <v>0</v>
      </c>
      <c r="L10" s="378">
        <v>100</v>
      </c>
      <c r="M10" s="378">
        <v>100</v>
      </c>
      <c r="N10" s="393"/>
      <c r="O10" s="378">
        <v>64.666017566657473</v>
      </c>
      <c r="P10" s="378">
        <v>31.751182528466103</v>
      </c>
      <c r="Q10" s="227"/>
      <c r="R10" s="265"/>
      <c r="S10" s="268"/>
    </row>
    <row r="11" spans="1:19" ht="21.75" customHeight="1">
      <c r="B11" s="380"/>
      <c r="C11" s="381"/>
      <c r="D11" s="381" t="s">
        <v>15</v>
      </c>
      <c r="E11" s="306">
        <v>1008.233016534864</v>
      </c>
      <c r="F11" s="306">
        <v>1660.5807796384991</v>
      </c>
      <c r="G11" s="306">
        <v>2187.2190080457949</v>
      </c>
      <c r="H11" s="306"/>
      <c r="I11" s="306">
        <v>18279.82</v>
      </c>
      <c r="J11" s="306">
        <v>3105.065315068493</v>
      </c>
      <c r="K11" s="307"/>
      <c r="L11" s="377">
        <v>99.78906439418634</v>
      </c>
      <c r="M11" s="377">
        <v>99.760976943965531</v>
      </c>
      <c r="N11" s="392"/>
      <c r="O11" s="377">
        <v>64.702082991256361</v>
      </c>
      <c r="P11" s="377">
        <v>31.714098757781755</v>
      </c>
      <c r="Q11" s="121"/>
      <c r="R11" s="265"/>
    </row>
    <row r="12" spans="1:19" ht="22.5" customHeight="1">
      <c r="B12" s="380"/>
      <c r="C12" s="381"/>
      <c r="D12" s="381" t="s">
        <v>44</v>
      </c>
      <c r="E12" s="306">
        <v>2.3525095712309998</v>
      </c>
      <c r="F12" s="306">
        <v>3.510160305461</v>
      </c>
      <c r="G12" s="306">
        <v>5.2404836794393992</v>
      </c>
      <c r="H12" s="306"/>
      <c r="I12" s="306">
        <v>507.58</v>
      </c>
      <c r="J12" s="306">
        <v>86.219068493150672</v>
      </c>
      <c r="K12" s="307"/>
      <c r="L12" s="377">
        <v>0.21093560581365872</v>
      </c>
      <c r="M12" s="377">
        <v>0.23902305603446711</v>
      </c>
      <c r="N12" s="392"/>
      <c r="O12" s="377">
        <v>49.209182754747957</v>
      </c>
      <c r="P12" s="377">
        <v>49.294710879341181</v>
      </c>
      <c r="Q12" s="228"/>
      <c r="R12" s="265"/>
    </row>
    <row r="13" spans="1:19" s="128" customFormat="1" ht="22.5" customHeight="1">
      <c r="B13" s="379" t="s">
        <v>101</v>
      </c>
      <c r="C13" s="379"/>
      <c r="D13" s="379"/>
      <c r="E13" s="308">
        <v>26.382757881994998</v>
      </c>
      <c r="F13" s="308">
        <v>115.70937600000001</v>
      </c>
      <c r="G13" s="308">
        <v>387.49566627416704</v>
      </c>
      <c r="H13" s="308"/>
      <c r="I13" s="308">
        <v>0</v>
      </c>
      <c r="J13" s="308">
        <v>0</v>
      </c>
      <c r="K13" s="310"/>
      <c r="L13" s="378">
        <v>6.9533084534368435</v>
      </c>
      <c r="M13" s="378">
        <v>17.674017136309725</v>
      </c>
      <c r="N13" s="311"/>
      <c r="O13" s="378">
        <v>338.57953181978093</v>
      </c>
      <c r="P13" s="378">
        <v>234.88700714639322</v>
      </c>
      <c r="Q13" s="227"/>
      <c r="R13" s="265"/>
    </row>
    <row r="14" spans="1:19" s="128" customFormat="1" ht="29.25" customHeight="1">
      <c r="B14" s="379" t="s">
        <v>102</v>
      </c>
      <c r="C14" s="379"/>
      <c r="D14" s="379"/>
      <c r="E14" s="308">
        <v>0</v>
      </c>
      <c r="F14" s="308">
        <v>0</v>
      </c>
      <c r="G14" s="308">
        <v>0</v>
      </c>
      <c r="H14" s="308"/>
      <c r="I14" s="308">
        <v>0</v>
      </c>
      <c r="J14" s="308">
        <v>0</v>
      </c>
      <c r="K14" s="310"/>
      <c r="L14" s="378">
        <v>0</v>
      </c>
      <c r="M14" s="378">
        <v>0</v>
      </c>
      <c r="N14" s="311"/>
      <c r="O14" s="378" t="s">
        <v>85</v>
      </c>
      <c r="P14" s="378" t="s">
        <v>85</v>
      </c>
      <c r="Q14" s="227"/>
      <c r="R14" s="265"/>
    </row>
    <row r="15" spans="1:19" s="128" customFormat="1" ht="28.5" customHeight="1">
      <c r="B15" s="379" t="s">
        <v>103</v>
      </c>
      <c r="C15" s="379"/>
      <c r="D15" s="379"/>
      <c r="E15" s="308">
        <v>0</v>
      </c>
      <c r="F15" s="308">
        <v>0</v>
      </c>
      <c r="G15" s="308">
        <v>0</v>
      </c>
      <c r="H15" s="308"/>
      <c r="I15" s="308">
        <v>0</v>
      </c>
      <c r="J15" s="308">
        <v>0</v>
      </c>
      <c r="K15" s="310"/>
      <c r="L15" s="378">
        <v>0</v>
      </c>
      <c r="M15" s="378">
        <v>0</v>
      </c>
      <c r="N15" s="311"/>
      <c r="O15" s="378" t="s">
        <v>85</v>
      </c>
      <c r="P15" s="378" t="s">
        <v>85</v>
      </c>
      <c r="Q15" s="227"/>
      <c r="R15" s="265"/>
    </row>
    <row r="16" spans="1:19" s="128" customFormat="1" ht="28.5" customHeight="1">
      <c r="B16" s="369" t="s">
        <v>195</v>
      </c>
      <c r="C16" s="379"/>
      <c r="D16" s="379"/>
      <c r="E16" s="308">
        <v>561.28200000000004</v>
      </c>
      <c r="F16" s="308">
        <v>116.634</v>
      </c>
      <c r="G16" s="308">
        <v>8.3032979999999998</v>
      </c>
      <c r="H16" s="308"/>
      <c r="I16" s="308">
        <v>0</v>
      </c>
      <c r="J16" s="308">
        <v>0</v>
      </c>
      <c r="K16" s="310"/>
      <c r="L16" s="378">
        <v>7.008871762977555</v>
      </c>
      <c r="M16" s="378">
        <v>0.37872070299762667</v>
      </c>
      <c r="N16" s="394"/>
      <c r="O16" s="378">
        <v>-79.22007119415909</v>
      </c>
      <c r="P16" s="378">
        <v>-92.880894078913528</v>
      </c>
      <c r="Q16" s="227"/>
      <c r="R16" s="265"/>
    </row>
    <row r="17" spans="2:18" s="119" customFormat="1" ht="35.1" customHeight="1">
      <c r="B17" s="408" t="s">
        <v>58</v>
      </c>
      <c r="C17" s="312"/>
      <c r="D17" s="312"/>
      <c r="E17" s="313">
        <v>-838.63773208096814</v>
      </c>
      <c r="F17" s="313">
        <v>-594.97700222965318</v>
      </c>
      <c r="G17" s="313">
        <v>-926.87650018492536</v>
      </c>
      <c r="H17" s="313"/>
      <c r="I17" s="313">
        <v>-2804.4000000000015</v>
      </c>
      <c r="J17" s="313">
        <v>-476.36383561643862</v>
      </c>
      <c r="K17" s="314"/>
      <c r="L17" s="395" t="s">
        <v>57</v>
      </c>
      <c r="M17" s="395" t="s">
        <v>57</v>
      </c>
      <c r="N17" s="315"/>
      <c r="O17" s="395">
        <v>-29.054348562007007</v>
      </c>
      <c r="P17" s="395">
        <v>55.783584358973826</v>
      </c>
      <c r="R17" s="265"/>
    </row>
    <row r="18" spans="2:18" ht="6.75" customHeight="1">
      <c r="B18" s="316"/>
      <c r="C18" s="407"/>
      <c r="D18" s="316"/>
      <c r="E18" s="317"/>
      <c r="F18" s="317"/>
      <c r="G18" s="317"/>
      <c r="H18" s="317"/>
      <c r="I18" s="317"/>
      <c r="J18" s="317">
        <v>0</v>
      </c>
      <c r="K18" s="318"/>
      <c r="L18" s="369"/>
      <c r="M18" s="369"/>
      <c r="N18" s="392"/>
      <c r="O18" s="369"/>
      <c r="P18" s="369"/>
      <c r="R18" s="265"/>
    </row>
    <row r="19" spans="2:18" s="128" customFormat="1" ht="30" customHeight="1">
      <c r="B19" s="379" t="s">
        <v>130</v>
      </c>
      <c r="C19" s="379"/>
      <c r="D19" s="379"/>
      <c r="E19" s="308">
        <v>440.943192123568</v>
      </c>
      <c r="F19" s="308">
        <v>448.31696333498996</v>
      </c>
      <c r="G19" s="308">
        <v>636.50067096931093</v>
      </c>
      <c r="H19" s="308"/>
      <c r="I19" s="308">
        <v>6445.6280000000006</v>
      </c>
      <c r="J19" s="308">
        <v>1094.8737972602742</v>
      </c>
      <c r="K19" s="310"/>
      <c r="L19" s="378">
        <v>100</v>
      </c>
      <c r="M19" s="378">
        <v>100</v>
      </c>
      <c r="N19" s="393"/>
      <c r="O19" s="378">
        <v>1.6722723795575831</v>
      </c>
      <c r="P19" s="378">
        <v>41.975593837547223</v>
      </c>
      <c r="R19" s="265"/>
    </row>
    <row r="20" spans="2:18" ht="24" customHeight="1">
      <c r="B20" s="380"/>
      <c r="C20" s="380" t="s">
        <v>197</v>
      </c>
      <c r="D20" s="380"/>
      <c r="E20" s="306">
        <v>437.63072587278498</v>
      </c>
      <c r="F20" s="306">
        <v>438.06670344155197</v>
      </c>
      <c r="G20" s="306">
        <v>625.62320120325296</v>
      </c>
      <c r="H20" s="306"/>
      <c r="I20" s="306">
        <v>5827.4280000000008</v>
      </c>
      <c r="J20" s="306">
        <v>989.86448219178101</v>
      </c>
      <c r="K20" s="319"/>
      <c r="L20" s="377">
        <v>97.713613195185118</v>
      </c>
      <c r="M20" s="377">
        <v>98.291051327645434</v>
      </c>
      <c r="N20" s="396"/>
      <c r="O20" s="377">
        <v>9.9622248391611379E-2</v>
      </c>
      <c r="P20" s="377">
        <v>42.814597934107837</v>
      </c>
      <c r="R20" s="265"/>
    </row>
    <row r="21" spans="2:18" ht="24.75">
      <c r="B21" s="381"/>
      <c r="C21" s="381"/>
      <c r="D21" s="380" t="s">
        <v>205</v>
      </c>
      <c r="E21" s="306">
        <v>34.122459998735003</v>
      </c>
      <c r="F21" s="306">
        <v>232.90150214316998</v>
      </c>
      <c r="G21" s="306">
        <v>434.83090959608995</v>
      </c>
      <c r="H21" s="306"/>
      <c r="I21" s="306">
        <v>4238.1099999999997</v>
      </c>
      <c r="J21" s="306">
        <v>719.89813698630132</v>
      </c>
      <c r="K21" s="307"/>
      <c r="L21" s="377">
        <v>51.950187298431992</v>
      </c>
      <c r="M21" s="377">
        <v>68.315860364121349</v>
      </c>
      <c r="N21" s="392"/>
      <c r="O21" s="377" t="s">
        <v>224</v>
      </c>
      <c r="P21" s="377">
        <v>86.701633778552974</v>
      </c>
      <c r="R21" s="265"/>
    </row>
    <row r="22" spans="2:18" ht="24.75">
      <c r="B22" s="381"/>
      <c r="C22" s="381"/>
      <c r="D22" s="382" t="s">
        <v>206</v>
      </c>
      <c r="E22" s="306">
        <v>68.945855373494012</v>
      </c>
      <c r="F22" s="306">
        <v>88.874629916623007</v>
      </c>
      <c r="G22" s="306">
        <v>93.533714535049995</v>
      </c>
      <c r="H22" s="306"/>
      <c r="I22" s="306">
        <v>799.58</v>
      </c>
      <c r="J22" s="306">
        <v>135.8190684931507</v>
      </c>
      <c r="K22" s="307"/>
      <c r="L22" s="377">
        <v>19.824061363971719</v>
      </c>
      <c r="M22" s="377">
        <v>14.694990720529773</v>
      </c>
      <c r="N22" s="392"/>
      <c r="O22" s="377">
        <v>28.904963808441693</v>
      </c>
      <c r="P22" s="377">
        <v>5.2423111328822074</v>
      </c>
      <c r="R22" s="265"/>
    </row>
    <row r="23" spans="2:18" ht="24.75">
      <c r="B23" s="381"/>
      <c r="C23" s="381"/>
      <c r="D23" s="383" t="s">
        <v>207</v>
      </c>
      <c r="E23" s="306">
        <v>0</v>
      </c>
      <c r="F23" s="306">
        <v>92.532375000000002</v>
      </c>
      <c r="G23" s="306">
        <v>53.574300000000001</v>
      </c>
      <c r="H23" s="306"/>
      <c r="I23" s="306">
        <v>434.13600000000002</v>
      </c>
      <c r="J23" s="306">
        <v>73.743649315068495</v>
      </c>
      <c r="K23" s="307"/>
      <c r="L23" s="377">
        <v>20.639945076282615</v>
      </c>
      <c r="M23" s="377">
        <v>8.417006052548702</v>
      </c>
      <c r="N23" s="392"/>
      <c r="O23" s="377" t="s">
        <v>85</v>
      </c>
      <c r="P23" s="377">
        <v>-42.102102102102101</v>
      </c>
      <c r="R23" s="265"/>
    </row>
    <row r="24" spans="2:18" ht="24.75">
      <c r="B24" s="381"/>
      <c r="C24" s="380"/>
      <c r="D24" s="383" t="s">
        <v>208</v>
      </c>
      <c r="E24" s="306">
        <v>7.2754105005560001</v>
      </c>
      <c r="F24" s="306">
        <v>23.758196381758999</v>
      </c>
      <c r="G24" s="306">
        <v>40.927711472112996</v>
      </c>
      <c r="H24" s="306"/>
      <c r="I24" s="306">
        <v>355.6</v>
      </c>
      <c r="J24" s="306">
        <v>60.403287671232881</v>
      </c>
      <c r="K24" s="307"/>
      <c r="L24" s="377">
        <v>5.2994194564987893</v>
      </c>
      <c r="M24" s="377">
        <v>6.4301128559354392</v>
      </c>
      <c r="N24" s="392"/>
      <c r="O24" s="377">
        <v>226.55471990128058</v>
      </c>
      <c r="P24" s="377">
        <v>72.267754733841485</v>
      </c>
      <c r="R24" s="265"/>
    </row>
    <row r="25" spans="2:18" ht="24.75">
      <c r="B25" s="381"/>
      <c r="C25" s="380"/>
      <c r="D25" s="383" t="s">
        <v>209</v>
      </c>
      <c r="E25" s="306">
        <v>0</v>
      </c>
      <c r="F25" s="306">
        <v>0</v>
      </c>
      <c r="G25" s="306">
        <v>2.7565656000000001</v>
      </c>
      <c r="H25" s="306"/>
      <c r="I25" s="306">
        <v>0</v>
      </c>
      <c r="J25" s="306">
        <v>0</v>
      </c>
      <c r="K25" s="307"/>
      <c r="L25" s="377">
        <v>0</v>
      </c>
      <c r="M25" s="377">
        <v>0.43308133451015779</v>
      </c>
      <c r="N25" s="392"/>
      <c r="O25" s="377" t="s">
        <v>85</v>
      </c>
      <c r="P25" s="377" t="s">
        <v>85</v>
      </c>
      <c r="R25" s="265"/>
    </row>
    <row r="26" spans="2:18" ht="24.75" hidden="1">
      <c r="B26" s="381"/>
      <c r="C26" s="380"/>
      <c r="D26" s="383" t="s">
        <v>210</v>
      </c>
      <c r="E26" s="306">
        <v>0</v>
      </c>
      <c r="F26" s="306">
        <v>0</v>
      </c>
      <c r="G26" s="306">
        <v>0</v>
      </c>
      <c r="H26" s="306"/>
      <c r="I26" s="306">
        <v>1E-3</v>
      </c>
      <c r="J26" s="306">
        <v>1.6986301369863014E-4</v>
      </c>
      <c r="K26" s="307"/>
      <c r="L26" s="377">
        <v>0</v>
      </c>
      <c r="M26" s="377">
        <v>0</v>
      </c>
      <c r="N26" s="392"/>
      <c r="O26" s="377" t="s">
        <v>85</v>
      </c>
      <c r="P26" s="377" t="s">
        <v>85</v>
      </c>
      <c r="R26" s="265"/>
    </row>
    <row r="27" spans="2:18" ht="24.75" hidden="1">
      <c r="B27" s="381"/>
      <c r="C27" s="380"/>
      <c r="D27" s="383" t="s">
        <v>211</v>
      </c>
      <c r="E27" s="306">
        <v>0</v>
      </c>
      <c r="F27" s="306">
        <v>0</v>
      </c>
      <c r="G27" s="306">
        <v>0</v>
      </c>
      <c r="H27" s="306"/>
      <c r="I27" s="306">
        <v>1E-3</v>
      </c>
      <c r="J27" s="306">
        <v>1.6986301369863014E-4</v>
      </c>
      <c r="K27" s="307"/>
      <c r="L27" s="377">
        <v>0</v>
      </c>
      <c r="M27" s="377">
        <v>0</v>
      </c>
      <c r="N27" s="392"/>
      <c r="O27" s="377" t="s">
        <v>85</v>
      </c>
      <c r="P27" s="377" t="s">
        <v>85</v>
      </c>
      <c r="R27" s="265"/>
    </row>
    <row r="28" spans="2:18" ht="24.75">
      <c r="B28" s="381"/>
      <c r="C28" s="380"/>
      <c r="D28" s="383" t="s">
        <v>196</v>
      </c>
      <c r="E28" s="377">
        <v>327.28699999999998</v>
      </c>
      <c r="F28" s="377">
        <v>0</v>
      </c>
      <c r="G28" s="377">
        <v>0</v>
      </c>
      <c r="H28" s="377"/>
      <c r="I28" s="377">
        <v>0</v>
      </c>
      <c r="J28" s="377">
        <v>0</v>
      </c>
      <c r="K28" s="307"/>
      <c r="L28" s="377">
        <v>0</v>
      </c>
      <c r="M28" s="377">
        <v>0</v>
      </c>
      <c r="N28" s="392"/>
      <c r="O28" s="377">
        <v>-100</v>
      </c>
      <c r="P28" s="377" t="s">
        <v>85</v>
      </c>
      <c r="R28" s="265"/>
    </row>
    <row r="29" spans="2:18" ht="21" customHeight="1">
      <c r="B29" s="381"/>
      <c r="C29" s="380" t="s">
        <v>109</v>
      </c>
      <c r="D29" s="380"/>
      <c r="E29" s="306">
        <v>3.2230862507850002</v>
      </c>
      <c r="F29" s="306">
        <v>10.243178343438</v>
      </c>
      <c r="G29" s="306">
        <v>10.870948597621</v>
      </c>
      <c r="H29" s="306"/>
      <c r="I29" s="306">
        <v>618.19899999999996</v>
      </c>
      <c r="J29" s="306">
        <v>105.00914520547944</v>
      </c>
      <c r="K29" s="307"/>
      <c r="L29" s="377">
        <v>2.2848072192584259</v>
      </c>
      <c r="M29" s="377">
        <v>1.7079241379378132</v>
      </c>
      <c r="N29" s="392"/>
      <c r="O29" s="377">
        <v>217.8065228922502</v>
      </c>
      <c r="P29" s="377">
        <v>6.1286666416890228</v>
      </c>
      <c r="R29" s="265"/>
    </row>
    <row r="30" spans="2:18" ht="21" customHeight="1">
      <c r="B30" s="381"/>
      <c r="C30" s="382" t="s">
        <v>106</v>
      </c>
      <c r="D30" s="382"/>
      <c r="E30" s="306">
        <v>8.9379999998000004E-2</v>
      </c>
      <c r="F30" s="306">
        <v>7.0815499999999998E-3</v>
      </c>
      <c r="G30" s="306">
        <v>6.5211684370000004E-3</v>
      </c>
      <c r="H30" s="306"/>
      <c r="I30" s="306">
        <v>1E-3</v>
      </c>
      <c r="J30" s="306">
        <v>1.6986301369863014E-4</v>
      </c>
      <c r="K30" s="307"/>
      <c r="L30" s="377" t="s">
        <v>225</v>
      </c>
      <c r="M30" s="377" t="s">
        <v>225</v>
      </c>
      <c r="N30" s="392"/>
      <c r="O30" s="377">
        <v>-92.077030655450372</v>
      </c>
      <c r="P30" s="377">
        <v>-7.913261404635989</v>
      </c>
      <c r="R30" s="265"/>
    </row>
    <row r="31" spans="2:18" s="128" customFormat="1" ht="30" customHeight="1">
      <c r="B31" s="379" t="s">
        <v>84</v>
      </c>
      <c r="C31" s="379"/>
      <c r="D31" s="379"/>
      <c r="E31" s="308">
        <v>0</v>
      </c>
      <c r="F31" s="308">
        <v>2.4630000000000001</v>
      </c>
      <c r="G31" s="308">
        <v>41.177999999999997</v>
      </c>
      <c r="H31" s="308"/>
      <c r="I31" s="308">
        <v>4000</v>
      </c>
      <c r="J31" s="308">
        <v>679.45205479452056</v>
      </c>
      <c r="K31" s="310"/>
      <c r="L31" s="378" t="s">
        <v>57</v>
      </c>
      <c r="M31" s="378" t="s">
        <v>57</v>
      </c>
      <c r="N31" s="393"/>
      <c r="O31" s="378" t="s">
        <v>85</v>
      </c>
      <c r="P31" s="378" t="s">
        <v>224</v>
      </c>
      <c r="R31" s="265"/>
    </row>
    <row r="32" spans="2:18" s="229" customFormat="1" ht="35.1" customHeight="1">
      <c r="B32" s="408" t="s">
        <v>17</v>
      </c>
      <c r="C32" s="312"/>
      <c r="D32" s="312"/>
      <c r="E32" s="313">
        <v>440.943192123568</v>
      </c>
      <c r="F32" s="313">
        <v>445.85396333498994</v>
      </c>
      <c r="G32" s="313">
        <v>595.32267096931093</v>
      </c>
      <c r="H32" s="313"/>
      <c r="I32" s="313">
        <v>2445.6280000000006</v>
      </c>
      <c r="J32" s="313">
        <v>415.42174246575348</v>
      </c>
      <c r="K32" s="314"/>
      <c r="L32" s="395" t="s">
        <v>57</v>
      </c>
      <c r="M32" s="395" t="s">
        <v>57</v>
      </c>
      <c r="N32" s="314"/>
      <c r="O32" s="395">
        <v>1.1136970247282534</v>
      </c>
      <c r="P32" s="395">
        <v>33.524140172780847</v>
      </c>
      <c r="R32" s="265"/>
    </row>
    <row r="33" spans="2:18" ht="6.75" customHeight="1">
      <c r="B33" s="407"/>
      <c r="C33" s="379"/>
      <c r="D33" s="379"/>
      <c r="E33" s="317"/>
      <c r="F33" s="317"/>
      <c r="G33" s="317"/>
      <c r="H33" s="317"/>
      <c r="I33" s="317"/>
      <c r="J33" s="317">
        <v>0</v>
      </c>
      <c r="K33" s="318"/>
      <c r="L33" s="369"/>
      <c r="M33" s="369"/>
      <c r="N33" s="392"/>
      <c r="O33" s="369"/>
      <c r="P33" s="369"/>
      <c r="R33" s="265"/>
    </row>
    <row r="34" spans="2:18" s="229" customFormat="1" ht="35.1" customHeight="1">
      <c r="B34" s="409" t="s">
        <v>219</v>
      </c>
      <c r="C34" s="410"/>
      <c r="D34" s="410"/>
      <c r="E34" s="320">
        <v>-397.69453995740014</v>
      </c>
      <c r="F34" s="320">
        <v>-149.12303889466324</v>
      </c>
      <c r="G34" s="320">
        <v>-331.55382921561443</v>
      </c>
      <c r="H34" s="320"/>
      <c r="I34" s="320">
        <v>-358.77200000000084</v>
      </c>
      <c r="J34" s="320">
        <v>-60.942093150685075</v>
      </c>
      <c r="K34" s="321"/>
      <c r="L34" s="397" t="s">
        <v>57</v>
      </c>
      <c r="M34" s="397" t="s">
        <v>57</v>
      </c>
      <c r="N34" s="398"/>
      <c r="O34" s="397">
        <v>-62.503121387928317</v>
      </c>
      <c r="P34" s="397">
        <v>122.33575151980082</v>
      </c>
      <c r="R34" s="265"/>
    </row>
    <row r="35" spans="2:18" s="230" customFormat="1" ht="30" customHeight="1">
      <c r="B35" s="411" t="s">
        <v>213</v>
      </c>
      <c r="C35" s="412"/>
      <c r="D35" s="411"/>
      <c r="E35" s="308">
        <v>593.18453995740015</v>
      </c>
      <c r="F35" s="308">
        <v>224.1230388946631</v>
      </c>
      <c r="G35" s="308">
        <v>331.55382921561403</v>
      </c>
      <c r="H35" s="308"/>
      <c r="I35" s="308">
        <v>3191.77</v>
      </c>
      <c r="J35" s="308">
        <v>542.16367123287671</v>
      </c>
      <c r="K35" s="322"/>
      <c r="L35" s="378" t="s">
        <v>57</v>
      </c>
      <c r="M35" s="378" t="s">
        <v>57</v>
      </c>
      <c r="N35" s="399"/>
      <c r="O35" s="378">
        <v>-62.216979068476967</v>
      </c>
      <c r="P35" s="378">
        <v>47.933845110605944</v>
      </c>
      <c r="R35" s="265"/>
    </row>
    <row r="36" spans="2:18" s="230" customFormat="1" ht="30" customHeight="1">
      <c r="B36" s="411" t="s">
        <v>18</v>
      </c>
      <c r="C36" s="412"/>
      <c r="D36" s="412"/>
      <c r="E36" s="308">
        <v>195.49</v>
      </c>
      <c r="F36" s="308">
        <v>75</v>
      </c>
      <c r="G36" s="308">
        <v>0</v>
      </c>
      <c r="H36" s="308"/>
      <c r="I36" s="308">
        <v>2833</v>
      </c>
      <c r="J36" s="308">
        <v>481.22191780821919</v>
      </c>
      <c r="K36" s="322"/>
      <c r="L36" s="378" t="s">
        <v>57</v>
      </c>
      <c r="M36" s="378" t="s">
        <v>57</v>
      </c>
      <c r="N36" s="399"/>
      <c r="O36" s="378">
        <v>-61.634866233566939</v>
      </c>
      <c r="P36" s="378">
        <v>-100</v>
      </c>
      <c r="R36" s="265"/>
    </row>
    <row r="37" spans="2:18" s="229" customFormat="1" ht="35.1" customHeight="1">
      <c r="B37" s="409" t="s">
        <v>19</v>
      </c>
      <c r="C37" s="323"/>
      <c r="D37" s="323"/>
      <c r="E37" s="320">
        <v>397.69453995740014</v>
      </c>
      <c r="F37" s="320">
        <v>149.1230388946631</v>
      </c>
      <c r="G37" s="320">
        <v>331.55382921561403</v>
      </c>
      <c r="H37" s="320"/>
      <c r="I37" s="320">
        <v>358.77</v>
      </c>
      <c r="J37" s="320">
        <v>60.941753424657534</v>
      </c>
      <c r="K37" s="324"/>
      <c r="L37" s="397" t="s">
        <v>57</v>
      </c>
      <c r="M37" s="397" t="s">
        <v>57</v>
      </c>
      <c r="N37" s="324"/>
      <c r="O37" s="397">
        <v>-62.50312138792836</v>
      </c>
      <c r="P37" s="397">
        <v>122.33575151980079</v>
      </c>
      <c r="R37" s="265"/>
    </row>
    <row r="38" spans="2:18" s="119" customFormat="1" ht="14.25" customHeight="1">
      <c r="B38" s="381"/>
      <c r="C38" s="381"/>
      <c r="D38" s="381"/>
      <c r="E38" s="325"/>
      <c r="F38" s="325"/>
      <c r="G38" s="325"/>
      <c r="H38" s="325"/>
      <c r="I38" s="325"/>
      <c r="J38" s="325"/>
      <c r="K38" s="326"/>
      <c r="L38" s="325"/>
      <c r="M38" s="325"/>
      <c r="N38" s="326"/>
      <c r="O38" s="325"/>
      <c r="P38" s="325"/>
    </row>
    <row r="39" spans="2:18" ht="21.75" customHeight="1">
      <c r="B39" s="413" t="s">
        <v>20</v>
      </c>
      <c r="C39" s="414"/>
      <c r="D39" s="414"/>
      <c r="E39" s="318"/>
      <c r="F39" s="318"/>
      <c r="G39" s="318"/>
      <c r="H39" s="318"/>
      <c r="I39" s="318"/>
      <c r="J39" s="318"/>
      <c r="K39" s="327"/>
      <c r="L39" s="318"/>
      <c r="M39" s="318"/>
      <c r="N39" s="327"/>
      <c r="O39" s="318"/>
      <c r="P39" s="318"/>
    </row>
    <row r="40" spans="2:18" s="128" customFormat="1" ht="26.25">
      <c r="B40" s="369" t="s">
        <v>21</v>
      </c>
      <c r="C40" s="415"/>
      <c r="D40" s="415"/>
      <c r="E40" s="378">
        <v>75.165587897740664</v>
      </c>
      <c r="F40" s="378">
        <v>78.20830475515568</v>
      </c>
      <c r="G40" s="378">
        <v>75.777087881662226</v>
      </c>
      <c r="H40" s="378"/>
      <c r="I40" s="378">
        <v>85.072974440316372</v>
      </c>
      <c r="J40" s="308"/>
      <c r="K40" s="328"/>
      <c r="L40" s="308"/>
      <c r="M40" s="308"/>
      <c r="N40" s="328"/>
      <c r="O40" s="308"/>
      <c r="P40" s="308"/>
    </row>
    <row r="41" spans="2:18" ht="24.75">
      <c r="B41" s="416"/>
      <c r="C41" s="416" t="s">
        <v>22</v>
      </c>
      <c r="D41" s="416"/>
      <c r="E41" s="377">
        <v>63.459572585504198</v>
      </c>
      <c r="F41" s="377">
        <v>57.655266562530286</v>
      </c>
      <c r="G41" s="377">
        <v>62.627886476993886</v>
      </c>
      <c r="H41" s="377"/>
      <c r="I41" s="377">
        <v>72.628463757624786</v>
      </c>
      <c r="J41" s="306"/>
      <c r="K41" s="329"/>
      <c r="L41" s="306"/>
      <c r="M41" s="306"/>
      <c r="N41" s="329"/>
      <c r="O41" s="306"/>
      <c r="P41" s="306"/>
    </row>
    <row r="42" spans="2:18" ht="24.75">
      <c r="B42" s="416"/>
      <c r="C42" s="416" t="s">
        <v>23</v>
      </c>
      <c r="D42" s="416"/>
      <c r="E42" s="377">
        <v>11.706015312236474</v>
      </c>
      <c r="F42" s="377">
        <v>20.55303819262539</v>
      </c>
      <c r="G42" s="377">
        <v>13.149201404668348</v>
      </c>
      <c r="H42" s="377"/>
      <c r="I42" s="377">
        <v>12.44451068269159</v>
      </c>
      <c r="J42" s="306"/>
      <c r="K42" s="329"/>
      <c r="L42" s="306"/>
      <c r="M42" s="306"/>
      <c r="N42" s="329"/>
      <c r="O42" s="306"/>
      <c r="P42" s="306"/>
    </row>
    <row r="43" spans="2:18" s="231" customFormat="1" ht="50.25" customHeight="1">
      <c r="B43" s="425" t="s">
        <v>24</v>
      </c>
      <c r="C43" s="425"/>
      <c r="D43" s="425"/>
      <c r="E43" s="378">
        <v>118.79803470534279</v>
      </c>
      <c r="F43" s="378">
        <v>104.99355797077502</v>
      </c>
      <c r="G43" s="378">
        <v>102.87625612018762</v>
      </c>
      <c r="H43" s="378"/>
      <c r="I43" s="378">
        <v>98.425568515934231</v>
      </c>
      <c r="J43" s="308"/>
      <c r="K43" s="330"/>
      <c r="L43" s="308"/>
      <c r="M43" s="308"/>
      <c r="N43" s="330"/>
      <c r="O43" s="308"/>
      <c r="P43" s="308"/>
    </row>
    <row r="44" spans="2:18" ht="26.25">
      <c r="B44" s="369"/>
      <c r="C44" s="416" t="s">
        <v>25</v>
      </c>
      <c r="D44" s="416"/>
      <c r="E44" s="377">
        <v>63.459572585504198</v>
      </c>
      <c r="F44" s="377">
        <v>57.570057846424596</v>
      </c>
      <c r="G44" s="377">
        <v>61.473316355878239</v>
      </c>
      <c r="H44" s="377"/>
      <c r="I44" s="377">
        <v>59.879582576336041</v>
      </c>
      <c r="J44" s="306"/>
      <c r="K44" s="329"/>
      <c r="L44" s="306"/>
      <c r="M44" s="306"/>
      <c r="N44" s="329"/>
      <c r="O44" s="306"/>
      <c r="P44" s="306"/>
    </row>
    <row r="45" spans="2:18" ht="26.25">
      <c r="B45" s="369"/>
      <c r="C45" s="416" t="s">
        <v>26</v>
      </c>
      <c r="D45" s="416"/>
      <c r="E45" s="377">
        <v>11.706015312236474</v>
      </c>
      <c r="F45" s="377">
        <v>20.522662858317197</v>
      </c>
      <c r="G45" s="377">
        <v>12.906790620712883</v>
      </c>
      <c r="H45" s="377"/>
      <c r="I45" s="377">
        <v>10.260055995857359</v>
      </c>
      <c r="J45" s="306"/>
      <c r="K45" s="329"/>
      <c r="L45" s="306"/>
      <c r="M45" s="306"/>
      <c r="N45" s="329"/>
      <c r="O45" s="306"/>
      <c r="P45" s="306"/>
    </row>
    <row r="46" spans="2:18" ht="26.25">
      <c r="B46" s="369"/>
      <c r="C46" s="416" t="s">
        <v>220</v>
      </c>
      <c r="D46" s="416"/>
      <c r="E46" s="377">
        <v>3.3765039293816983</v>
      </c>
      <c r="F46" s="377">
        <v>13.975035344550657</v>
      </c>
      <c r="G46" s="377">
        <v>19.467389458091155</v>
      </c>
      <c r="H46" s="377"/>
      <c r="I46" s="377">
        <v>18.598479861677941</v>
      </c>
      <c r="J46" s="306"/>
      <c r="K46" s="329"/>
      <c r="L46" s="306"/>
      <c r="M46" s="306"/>
      <c r="N46" s="329"/>
      <c r="O46" s="306"/>
      <c r="P46" s="306"/>
    </row>
    <row r="47" spans="2:18" ht="26.25">
      <c r="B47" s="369"/>
      <c r="C47" s="416" t="s">
        <v>27</v>
      </c>
      <c r="D47" s="416"/>
      <c r="E47" s="377">
        <v>-39.352883025127419</v>
      </c>
      <c r="F47" s="377">
        <v>-8.9479875400659203</v>
      </c>
      <c r="G47" s="377">
        <v>-14.843672280927123</v>
      </c>
      <c r="H47" s="377"/>
      <c r="I47" s="377">
        <v>-1.5744314840657592</v>
      </c>
      <c r="J47" s="306"/>
      <c r="K47" s="329"/>
      <c r="L47" s="306"/>
      <c r="M47" s="306"/>
      <c r="N47" s="329"/>
      <c r="O47" s="306"/>
      <c r="P47" s="306"/>
    </row>
    <row r="48" spans="2:18" s="128" customFormat="1" ht="26.25">
      <c r="B48" s="369" t="s">
        <v>221</v>
      </c>
      <c r="C48" s="415"/>
      <c r="D48" s="415"/>
      <c r="E48" s="378">
        <v>0</v>
      </c>
      <c r="F48" s="378">
        <v>1.0575286021495629</v>
      </c>
      <c r="G48" s="378">
        <v>9.4698879705331507</v>
      </c>
      <c r="H48" s="378"/>
      <c r="I48" s="378">
        <v>94.381693726684773</v>
      </c>
      <c r="J48" s="308"/>
      <c r="K48" s="328"/>
      <c r="L48" s="308"/>
      <c r="M48" s="308"/>
      <c r="N48" s="328"/>
      <c r="O48" s="308"/>
      <c r="P48" s="308"/>
    </row>
    <row r="49" spans="2:16" s="128" customFormat="1" ht="27" thickBot="1">
      <c r="B49" s="417" t="s">
        <v>28</v>
      </c>
      <c r="C49" s="417"/>
      <c r="D49" s="331"/>
      <c r="E49" s="384">
        <v>0</v>
      </c>
      <c r="F49" s="384">
        <v>0.14800873803705367</v>
      </c>
      <c r="G49" s="384">
        <v>1.8781646892639854</v>
      </c>
      <c r="H49" s="384"/>
      <c r="I49" s="384">
        <v>21.290865154305543</v>
      </c>
      <c r="J49" s="332"/>
      <c r="K49" s="333"/>
      <c r="L49" s="332"/>
      <c r="M49" s="332"/>
      <c r="N49" s="333"/>
      <c r="O49" s="332"/>
      <c r="P49" s="332"/>
    </row>
    <row r="50" spans="2:16" ht="21" customHeight="1">
      <c r="B50" s="370" t="s">
        <v>200</v>
      </c>
      <c r="C50" s="223"/>
      <c r="D50" s="223"/>
      <c r="E50" s="255"/>
      <c r="F50" s="256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6" ht="19.5" customHeight="1">
      <c r="B51" s="371" t="s">
        <v>201</v>
      </c>
      <c r="C51" s="254"/>
      <c r="D51" s="254"/>
      <c r="E51" s="255"/>
      <c r="F51" s="256"/>
      <c r="G51" s="223"/>
      <c r="H51" s="223"/>
      <c r="I51" s="223"/>
      <c r="J51" s="223"/>
      <c r="K51" s="223"/>
      <c r="L51" s="254"/>
      <c r="M51" s="257"/>
      <c r="N51" s="223"/>
      <c r="O51" s="258"/>
      <c r="P51" s="223"/>
    </row>
    <row r="52" spans="2:16" ht="20.25" customHeight="1">
      <c r="B52" s="372" t="s">
        <v>202</v>
      </c>
      <c r="C52" s="223"/>
      <c r="D52" s="223"/>
      <c r="E52" s="255"/>
      <c r="F52" s="256"/>
      <c r="G52" s="223"/>
      <c r="H52" s="223"/>
      <c r="I52" s="223"/>
      <c r="J52" s="223"/>
      <c r="K52" s="223"/>
      <c r="L52" s="223"/>
      <c r="M52" s="257"/>
      <c r="N52" s="257"/>
      <c r="O52" s="375"/>
      <c r="P52" s="375"/>
    </row>
    <row r="53" spans="2:16" ht="20.25" customHeight="1">
      <c r="B53" s="373" t="s">
        <v>203</v>
      </c>
      <c r="C53" s="223"/>
      <c r="D53" s="223"/>
      <c r="E53" s="255"/>
      <c r="F53" s="256"/>
      <c r="G53" s="223"/>
      <c r="H53" s="223"/>
      <c r="I53" s="223"/>
      <c r="J53" s="223"/>
      <c r="K53" s="223"/>
      <c r="L53" s="223"/>
      <c r="M53" s="257"/>
      <c r="N53" s="374"/>
      <c r="O53" s="374"/>
      <c r="P53" s="374"/>
    </row>
    <row r="54" spans="2:16" ht="20.25" customHeight="1">
      <c r="B54" s="373" t="s">
        <v>204</v>
      </c>
      <c r="C54" s="223"/>
      <c r="D54" s="223"/>
      <c r="E54" s="255"/>
      <c r="F54" s="256"/>
      <c r="G54" s="223"/>
      <c r="H54" s="223"/>
      <c r="I54" s="223"/>
      <c r="J54" s="223"/>
      <c r="K54" s="223"/>
      <c r="L54" s="223"/>
      <c r="M54" s="257"/>
      <c r="N54" s="266"/>
      <c r="O54" s="266"/>
      <c r="P54" s="266"/>
    </row>
    <row r="55" spans="2:16" ht="20.25" customHeight="1">
      <c r="B55" s="373" t="s">
        <v>218</v>
      </c>
      <c r="C55" s="223"/>
      <c r="D55" s="223"/>
      <c r="E55" s="255"/>
      <c r="F55" s="256"/>
      <c r="G55" s="223"/>
      <c r="H55" s="223"/>
      <c r="I55" s="223"/>
      <c r="J55" s="223"/>
      <c r="K55" s="223"/>
      <c r="L55" s="223"/>
      <c r="M55" s="257"/>
      <c r="N55" s="266"/>
      <c r="O55" s="266"/>
      <c r="P55" s="266"/>
    </row>
    <row r="56" spans="2:16" ht="20.25" customHeight="1">
      <c r="B56" s="259"/>
      <c r="C56" s="223"/>
      <c r="D56" s="223"/>
      <c r="E56" s="255"/>
      <c r="F56" s="256"/>
      <c r="G56" s="223"/>
      <c r="H56" s="223"/>
      <c r="I56" s="223"/>
      <c r="J56" s="223"/>
      <c r="K56" s="223"/>
      <c r="L56" s="223"/>
      <c r="M56" s="257"/>
      <c r="N56" s="266"/>
      <c r="O56" s="266"/>
      <c r="P56" s="266"/>
    </row>
  </sheetData>
  <mergeCells count="10">
    <mergeCell ref="B43:D43"/>
    <mergeCell ref="B1:P1"/>
    <mergeCell ref="E2:I2"/>
    <mergeCell ref="O2:P2"/>
    <mergeCell ref="E3:I3"/>
    <mergeCell ref="O3:P3"/>
    <mergeCell ref="E4:G5"/>
    <mergeCell ref="L5:M5"/>
    <mergeCell ref="O5:P5"/>
    <mergeCell ref="A3:D3"/>
  </mergeCells>
  <printOptions horizontalCentered="1" verticalCentered="1"/>
  <pageMargins left="0" right="0" top="0" bottom="0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6"/>
  <sheetViews>
    <sheetView rightToLeft="1" view="pageBreakPreview" topLeftCell="B32" zoomScale="60" zoomScaleNormal="55" workbookViewId="0">
      <selection activeCell="C2" sqref="C2:H2"/>
    </sheetView>
  </sheetViews>
  <sheetFormatPr defaultRowHeight="24.75"/>
  <cols>
    <col min="1" max="1" width="7.7109375" style="234" customWidth="1"/>
    <col min="2" max="2" width="73.140625" style="2" customWidth="1"/>
    <col min="3" max="3" width="16.7109375" style="226" bestFit="1" customWidth="1"/>
    <col min="4" max="4" width="17.42578125" style="226" bestFit="1" customWidth="1"/>
    <col min="5" max="5" width="16.28515625" style="226" customWidth="1"/>
    <col min="6" max="6" width="1.7109375" style="226" customWidth="1"/>
    <col min="7" max="7" width="16.7109375" style="226" customWidth="1"/>
    <col min="8" max="8" width="15.5703125" style="226" customWidth="1"/>
    <col min="9" max="9" width="1.7109375" style="225" customWidth="1"/>
    <col min="10" max="10" width="13" style="225" customWidth="1"/>
    <col min="11" max="11" width="14.85546875" style="225" customWidth="1"/>
    <col min="12" max="12" width="1.5703125" style="225" customWidth="1"/>
    <col min="13" max="13" width="16.42578125" style="225" customWidth="1"/>
    <col min="14" max="14" width="17" style="225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35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</row>
    <row r="2" spans="1:16" ht="30">
      <c r="B2" s="269"/>
      <c r="C2" s="438"/>
      <c r="D2" s="438"/>
      <c r="E2" s="438"/>
      <c r="F2" s="438"/>
      <c r="G2" s="438"/>
      <c r="H2" s="438"/>
      <c r="I2" s="270"/>
      <c r="J2" s="270"/>
      <c r="K2" s="439"/>
      <c r="L2" s="439"/>
      <c r="M2" s="439"/>
      <c r="N2" s="439"/>
    </row>
    <row r="3" spans="1:16" ht="30.75" thickBot="1">
      <c r="B3" s="423" t="s">
        <v>226</v>
      </c>
      <c r="C3" s="438" t="s">
        <v>127</v>
      </c>
      <c r="D3" s="438"/>
      <c r="E3" s="438"/>
      <c r="F3" s="438"/>
      <c r="G3" s="438"/>
      <c r="H3" s="438"/>
      <c r="I3" s="252"/>
      <c r="J3" s="252"/>
      <c r="K3" s="271"/>
      <c r="L3" s="271"/>
      <c r="M3" s="422"/>
      <c r="N3" s="424">
        <v>2</v>
      </c>
    </row>
    <row r="4" spans="1:16" ht="26.25" customHeight="1">
      <c r="B4" s="272"/>
      <c r="C4" s="440" t="s">
        <v>198</v>
      </c>
      <c r="D4" s="440"/>
      <c r="E4" s="440"/>
      <c r="F4" s="364"/>
      <c r="G4" s="273" t="s">
        <v>122</v>
      </c>
      <c r="H4" s="273" t="s">
        <v>88</v>
      </c>
      <c r="I4" s="274"/>
      <c r="J4" s="275"/>
      <c r="K4" s="275"/>
      <c r="L4" s="275"/>
      <c r="M4" s="275"/>
      <c r="N4" s="275"/>
    </row>
    <row r="5" spans="1:16" ht="27.75" customHeight="1">
      <c r="B5" s="276"/>
      <c r="C5" s="441"/>
      <c r="D5" s="441"/>
      <c r="E5" s="441"/>
      <c r="F5" s="385"/>
      <c r="G5" s="365" t="s">
        <v>89</v>
      </c>
      <c r="H5" s="365" t="s">
        <v>199</v>
      </c>
      <c r="I5" s="277"/>
      <c r="J5" s="442" t="s">
        <v>54</v>
      </c>
      <c r="K5" s="442"/>
      <c r="L5" s="278"/>
      <c r="M5" s="442" t="s">
        <v>55</v>
      </c>
      <c r="N5" s="442"/>
    </row>
    <row r="6" spans="1:16" ht="30">
      <c r="B6" s="279"/>
      <c r="C6" s="280">
        <v>1401</v>
      </c>
      <c r="D6" s="280">
        <v>1402</v>
      </c>
      <c r="E6" s="280">
        <v>1403</v>
      </c>
      <c r="F6" s="280"/>
      <c r="G6" s="281">
        <v>1403</v>
      </c>
      <c r="H6" s="281">
        <v>1403</v>
      </c>
      <c r="I6" s="282"/>
      <c r="J6" s="280">
        <v>1402</v>
      </c>
      <c r="K6" s="280">
        <v>1403</v>
      </c>
      <c r="L6" s="281"/>
      <c r="M6" s="280">
        <v>1402</v>
      </c>
      <c r="N6" s="280">
        <v>1403</v>
      </c>
    </row>
    <row r="7" spans="1:16" s="13" customFormat="1" ht="29.25" customHeight="1">
      <c r="A7" s="237"/>
      <c r="B7" s="418" t="s">
        <v>59</v>
      </c>
      <c r="C7" s="283">
        <v>217.02391436602099</v>
      </c>
      <c r="D7" s="283">
        <v>270.31250474563194</v>
      </c>
      <c r="E7" s="283">
        <v>440.79674349772193</v>
      </c>
      <c r="F7" s="283"/>
      <c r="G7" s="283">
        <v>4687.5210559999996</v>
      </c>
      <c r="H7" s="283">
        <v>796.23645334794514</v>
      </c>
      <c r="I7" s="283"/>
      <c r="J7" s="386">
        <v>28.174102888945946</v>
      </c>
      <c r="K7" s="386">
        <v>32.102513975037624</v>
      </c>
      <c r="L7" s="386"/>
      <c r="M7" s="386">
        <v>24.554248104537095</v>
      </c>
      <c r="N7" s="386">
        <v>63.069312650747747</v>
      </c>
      <c r="O7" s="238"/>
      <c r="P7" s="265"/>
    </row>
    <row r="8" spans="1:16" s="242" customFormat="1" ht="29.25" customHeight="1">
      <c r="A8" s="239"/>
      <c r="B8" s="419" t="s">
        <v>29</v>
      </c>
      <c r="C8" s="284">
        <v>3.2220926339260001</v>
      </c>
      <c r="D8" s="284">
        <v>11.272535590736</v>
      </c>
      <c r="E8" s="284">
        <v>45.962769334213</v>
      </c>
      <c r="F8" s="284"/>
      <c r="G8" s="284">
        <v>231.01522700000001</v>
      </c>
      <c r="H8" s="284">
        <v>39.240942668493155</v>
      </c>
      <c r="I8" s="285"/>
      <c r="J8" s="387">
        <v>1.1749126362154847</v>
      </c>
      <c r="K8" s="387">
        <v>3.3473941598904515</v>
      </c>
      <c r="L8" s="360"/>
      <c r="M8" s="387">
        <v>249.85138142973977</v>
      </c>
      <c r="N8" s="387">
        <v>307.74117734421827</v>
      </c>
      <c r="O8" s="241"/>
      <c r="P8" s="265"/>
    </row>
    <row r="9" spans="1:16" s="242" customFormat="1" ht="29.25" customHeight="1">
      <c r="A9" s="239"/>
      <c r="B9" s="419" t="s">
        <v>128</v>
      </c>
      <c r="C9" s="284">
        <v>9.9250717892630007</v>
      </c>
      <c r="D9" s="284">
        <v>5.4745686750519997</v>
      </c>
      <c r="E9" s="284">
        <v>81.734153172101998</v>
      </c>
      <c r="F9" s="284"/>
      <c r="G9" s="284">
        <v>184.44408100000001</v>
      </c>
      <c r="H9" s="284">
        <v>31.330227457534249</v>
      </c>
      <c r="I9" s="285"/>
      <c r="J9" s="387">
        <v>0.57060275945672079</v>
      </c>
      <c r="K9" s="387">
        <v>5.9525661955323201</v>
      </c>
      <c r="L9" s="360"/>
      <c r="M9" s="387">
        <v>-44.841016858191196</v>
      </c>
      <c r="N9" s="387" t="s">
        <v>224</v>
      </c>
      <c r="O9" s="241"/>
      <c r="P9" s="265"/>
    </row>
    <row r="10" spans="1:16" s="242" customFormat="1" ht="29.25" customHeight="1">
      <c r="A10" s="239"/>
      <c r="B10" s="419" t="s">
        <v>36</v>
      </c>
      <c r="C10" s="284">
        <v>203.60407827069298</v>
      </c>
      <c r="D10" s="284">
        <v>253.21374766568198</v>
      </c>
      <c r="E10" s="284">
        <v>312.32831235415097</v>
      </c>
      <c r="F10" s="284"/>
      <c r="G10" s="284">
        <v>3730.43129</v>
      </c>
      <c r="H10" s="284">
        <v>633.66230131506848</v>
      </c>
      <c r="I10" s="285"/>
      <c r="J10" s="387">
        <v>26.391935461297972</v>
      </c>
      <c r="K10" s="387">
        <v>22.746365893242736</v>
      </c>
      <c r="L10" s="360"/>
      <c r="M10" s="387">
        <v>24.365754269928047</v>
      </c>
      <c r="N10" s="387">
        <v>23.345716902590112</v>
      </c>
      <c r="O10" s="241"/>
      <c r="P10" s="265"/>
    </row>
    <row r="11" spans="1:16" s="242" customFormat="1" ht="29.25" customHeight="1">
      <c r="A11" s="239"/>
      <c r="B11" s="419" t="s">
        <v>222</v>
      </c>
      <c r="C11" s="284">
        <v>0.27267167213900279</v>
      </c>
      <c r="D11" s="284">
        <v>0.35165281416198013</v>
      </c>
      <c r="E11" s="284">
        <v>0.77150863725599994</v>
      </c>
      <c r="F11" s="284"/>
      <c r="G11" s="284">
        <v>541.63045799999998</v>
      </c>
      <c r="H11" s="284">
        <v>92.0029819068493</v>
      </c>
      <c r="I11" s="285">
        <v>0</v>
      </c>
      <c r="J11" s="387" t="s">
        <v>225</v>
      </c>
      <c r="K11" s="387">
        <v>5.6187726372123194E-2</v>
      </c>
      <c r="L11" s="360"/>
      <c r="M11" s="387">
        <v>28.965657269565668</v>
      </c>
      <c r="N11" s="387">
        <v>119.39498453739765</v>
      </c>
      <c r="O11" s="241"/>
      <c r="P11" s="265"/>
    </row>
    <row r="12" spans="1:16" s="13" customFormat="1" ht="29.25" customHeight="1">
      <c r="A12" s="237"/>
      <c r="B12" s="420" t="s">
        <v>60</v>
      </c>
      <c r="C12" s="286">
        <v>121.552476847824</v>
      </c>
      <c r="D12" s="286">
        <v>146.85367455765999</v>
      </c>
      <c r="E12" s="286">
        <v>206.53449884045801</v>
      </c>
      <c r="F12" s="286"/>
      <c r="G12" s="286">
        <v>1897.1182210000002</v>
      </c>
      <c r="H12" s="286">
        <v>322.25021836164387</v>
      </c>
      <c r="I12" s="285">
        <v>0</v>
      </c>
      <c r="J12" s="388">
        <v>15.306249115262785</v>
      </c>
      <c r="K12" s="388">
        <v>15.041573544173566</v>
      </c>
      <c r="L12" s="361"/>
      <c r="M12" s="388">
        <v>20.815040849814579</v>
      </c>
      <c r="N12" s="388">
        <v>40.63965335737322</v>
      </c>
      <c r="O12" s="238"/>
      <c r="P12" s="265"/>
    </row>
    <row r="13" spans="1:16" s="242" customFormat="1" ht="29.25" customHeight="1">
      <c r="A13" s="239"/>
      <c r="B13" s="419" t="s">
        <v>37</v>
      </c>
      <c r="C13" s="284">
        <v>19.685361624610998</v>
      </c>
      <c r="D13" s="284">
        <v>40.253309198526004</v>
      </c>
      <c r="E13" s="284">
        <v>52.655949434090999</v>
      </c>
      <c r="F13" s="284"/>
      <c r="G13" s="284">
        <v>378.161742</v>
      </c>
      <c r="H13" s="284">
        <v>64.235693161643837</v>
      </c>
      <c r="I13" s="285">
        <v>0</v>
      </c>
      <c r="J13" s="387">
        <v>4.1955176141297335</v>
      </c>
      <c r="K13" s="387">
        <v>3.834847642393068</v>
      </c>
      <c r="L13" s="360"/>
      <c r="M13" s="387">
        <v>104.48346322579405</v>
      </c>
      <c r="N13" s="387">
        <v>30.811479807526354</v>
      </c>
      <c r="O13" s="241"/>
      <c r="P13" s="265"/>
    </row>
    <row r="14" spans="1:16" s="242" customFormat="1" ht="29.25" customHeight="1">
      <c r="A14" s="243"/>
      <c r="B14" s="419" t="s">
        <v>38</v>
      </c>
      <c r="C14" s="284">
        <v>31.737346985963999</v>
      </c>
      <c r="D14" s="284">
        <v>68.071538039494001</v>
      </c>
      <c r="E14" s="284">
        <v>92.990047021397999</v>
      </c>
      <c r="F14" s="284"/>
      <c r="G14" s="284">
        <v>602.81337800000006</v>
      </c>
      <c r="H14" s="284">
        <v>102.39569708493151</v>
      </c>
      <c r="I14" s="285">
        <v>0</v>
      </c>
      <c r="J14" s="387">
        <v>7.0949530001885464</v>
      </c>
      <c r="K14" s="387">
        <v>6.7723147416112059</v>
      </c>
      <c r="L14" s="360"/>
      <c r="M14" s="387">
        <v>114.48402120567602</v>
      </c>
      <c r="N14" s="387">
        <v>36.606355166305605</v>
      </c>
      <c r="O14" s="244"/>
      <c r="P14" s="265"/>
    </row>
    <row r="15" spans="1:16" s="242" customFormat="1" ht="29.25" customHeight="1">
      <c r="A15" s="239"/>
      <c r="B15" s="419" t="s">
        <v>39</v>
      </c>
      <c r="C15" s="284">
        <v>68.119290845323007</v>
      </c>
      <c r="D15" s="284">
        <v>31.232705116723999</v>
      </c>
      <c r="E15" s="284">
        <v>49.814088433530003</v>
      </c>
      <c r="F15" s="284"/>
      <c r="G15" s="284">
        <v>797.16151300000001</v>
      </c>
      <c r="H15" s="284">
        <v>135.40825700273973</v>
      </c>
      <c r="I15" s="285">
        <v>0</v>
      </c>
      <c r="J15" s="387">
        <v>3.2553190548352164</v>
      </c>
      <c r="K15" s="387">
        <v>3.6278795015631098</v>
      </c>
      <c r="L15" s="360"/>
      <c r="M15" s="387">
        <v>-54.149984932104736</v>
      </c>
      <c r="N15" s="387">
        <v>59.493352392509649</v>
      </c>
      <c r="O15" s="241"/>
      <c r="P15" s="265"/>
    </row>
    <row r="16" spans="1:16" s="242" customFormat="1" ht="29.25" customHeight="1">
      <c r="A16" s="239"/>
      <c r="B16" s="419" t="s">
        <v>40</v>
      </c>
      <c r="C16" s="284">
        <v>3.0577715127390004</v>
      </c>
      <c r="D16" s="284">
        <v>6.9140558147949998</v>
      </c>
      <c r="E16" s="284">
        <v>10.152149910738999</v>
      </c>
      <c r="F16" s="284"/>
      <c r="G16" s="284">
        <v>108.07783500000001</v>
      </c>
      <c r="H16" s="284">
        <v>18.358426767123291</v>
      </c>
      <c r="I16" s="285">
        <v>0</v>
      </c>
      <c r="J16" s="387">
        <v>0.7206374713935505</v>
      </c>
      <c r="K16" s="387">
        <v>0.73936466000198575</v>
      </c>
      <c r="L16" s="360"/>
      <c r="M16" s="387">
        <v>126.11420722543559</v>
      </c>
      <c r="N16" s="387">
        <v>46.833496614461581</v>
      </c>
      <c r="O16" s="241"/>
      <c r="P16" s="265"/>
    </row>
    <row r="17" spans="1:16" s="242" customFormat="1" ht="29.25" customHeight="1">
      <c r="A17" s="239"/>
      <c r="B17" s="419" t="s">
        <v>41</v>
      </c>
      <c r="C17" s="284">
        <v>-1.047294120813</v>
      </c>
      <c r="D17" s="284">
        <v>0.38206638812099997</v>
      </c>
      <c r="E17" s="284">
        <v>0.92226404070000001</v>
      </c>
      <c r="F17" s="284"/>
      <c r="G17" s="284">
        <v>7.903753</v>
      </c>
      <c r="H17" s="284">
        <v>1.3425553041095892</v>
      </c>
      <c r="I17" s="285">
        <v>0</v>
      </c>
      <c r="J17" s="387" t="s">
        <v>225</v>
      </c>
      <c r="K17" s="387">
        <v>6.7166998604197795E-2</v>
      </c>
      <c r="L17" s="360"/>
      <c r="M17" s="387">
        <v>-136.4812883533049</v>
      </c>
      <c r="N17" s="387">
        <v>141.38842603655576</v>
      </c>
      <c r="O17" s="241"/>
      <c r="P17" s="265"/>
    </row>
    <row r="18" spans="1:16" s="242" customFormat="1" ht="29.25" customHeight="1">
      <c r="A18" s="239"/>
      <c r="B18" s="419" t="s">
        <v>43</v>
      </c>
      <c r="C18" s="284">
        <v>0</v>
      </c>
      <c r="D18" s="284">
        <v>0</v>
      </c>
      <c r="E18" s="284">
        <v>0</v>
      </c>
      <c r="F18" s="284"/>
      <c r="G18" s="284">
        <v>3</v>
      </c>
      <c r="H18" s="284">
        <v>0.50958904109589032</v>
      </c>
      <c r="I18" s="285">
        <v>0</v>
      </c>
      <c r="J18" s="387">
        <v>0</v>
      </c>
      <c r="K18" s="387">
        <v>0</v>
      </c>
      <c r="L18" s="360"/>
      <c r="M18" s="387" t="s">
        <v>85</v>
      </c>
      <c r="N18" s="387" t="s">
        <v>85</v>
      </c>
      <c r="O18" s="240"/>
      <c r="P18" s="265"/>
    </row>
    <row r="19" spans="1:16" s="13" customFormat="1" ht="29.25" customHeight="1">
      <c r="A19" s="237"/>
      <c r="B19" s="420" t="s">
        <v>48</v>
      </c>
      <c r="C19" s="388">
        <v>21.619399331854002</v>
      </c>
      <c r="D19" s="388">
        <v>48.555991697532008</v>
      </c>
      <c r="E19" s="388">
        <v>35.573178976546011</v>
      </c>
      <c r="F19" s="286"/>
      <c r="G19" s="388">
        <v>400.80082699999997</v>
      </c>
      <c r="H19" s="388">
        <v>68.081236367123282</v>
      </c>
      <c r="I19" s="285">
        <v>0</v>
      </c>
      <c r="J19" s="388">
        <v>5.0608887193302445</v>
      </c>
      <c r="K19" s="388">
        <v>2.590737096125995</v>
      </c>
      <c r="L19" s="361"/>
      <c r="M19" s="388">
        <v>124.59454563101414</v>
      </c>
      <c r="N19" s="388">
        <v>-26.737818067560724</v>
      </c>
      <c r="O19" s="238"/>
      <c r="P19" s="265"/>
    </row>
    <row r="20" spans="1:16" s="242" customFormat="1" ht="29.25" customHeight="1">
      <c r="A20" s="239"/>
      <c r="B20" s="419" t="s">
        <v>61</v>
      </c>
      <c r="C20" s="284">
        <v>2.0629286293539999</v>
      </c>
      <c r="D20" s="284">
        <v>2.9072413567690001</v>
      </c>
      <c r="E20" s="284">
        <v>3.3121885220289999</v>
      </c>
      <c r="F20" s="284"/>
      <c r="G20" s="284">
        <v>33.018335</v>
      </c>
      <c r="H20" s="284">
        <v>5.6085938904109591</v>
      </c>
      <c r="I20" s="285"/>
      <c r="J20" s="387">
        <v>0.30301564178722001</v>
      </c>
      <c r="K20" s="387">
        <v>0.2412213336075717</v>
      </c>
      <c r="L20" s="360"/>
      <c r="M20" s="387">
        <v>40.927869020819884</v>
      </c>
      <c r="N20" s="387">
        <v>13.928914581417587</v>
      </c>
      <c r="O20" s="241"/>
      <c r="P20" s="265"/>
    </row>
    <row r="21" spans="1:16" s="242" customFormat="1" ht="29.25" customHeight="1">
      <c r="A21" s="239"/>
      <c r="B21" s="419" t="s">
        <v>123</v>
      </c>
      <c r="C21" s="284">
        <v>2.152333507637</v>
      </c>
      <c r="D21" s="284">
        <v>4.732494922701</v>
      </c>
      <c r="E21" s="284">
        <v>4.5339617832380004</v>
      </c>
      <c r="F21" s="284"/>
      <c r="G21" s="284">
        <v>44.959891999999996</v>
      </c>
      <c r="H21" s="284">
        <v>7.6370227506849311</v>
      </c>
      <c r="I21" s="285"/>
      <c r="J21" s="387">
        <v>0.49325797561256496</v>
      </c>
      <c r="K21" s="387">
        <v>0.33020110437688988</v>
      </c>
      <c r="L21" s="360"/>
      <c r="M21" s="387">
        <v>119.87739845655719</v>
      </c>
      <c r="N21" s="387">
        <v>-4.1951051761443807</v>
      </c>
      <c r="O21" s="241"/>
      <c r="P21" s="265"/>
    </row>
    <row r="22" spans="1:16" s="242" customFormat="1" ht="29.25" customHeight="1">
      <c r="A22" s="239"/>
      <c r="B22" s="419" t="s">
        <v>62</v>
      </c>
      <c r="C22" s="284">
        <v>10.310141135035002</v>
      </c>
      <c r="D22" s="284">
        <v>25.326071371818003</v>
      </c>
      <c r="E22" s="284">
        <v>8.5402253537980002</v>
      </c>
      <c r="F22" s="284"/>
      <c r="G22" s="284">
        <v>144.19767199999998</v>
      </c>
      <c r="H22" s="284">
        <v>24.493851134246572</v>
      </c>
      <c r="I22" s="285"/>
      <c r="J22" s="387">
        <v>2.6396830634004145</v>
      </c>
      <c r="K22" s="387">
        <v>0.62197080131488736</v>
      </c>
      <c r="L22" s="360"/>
      <c r="M22" s="387">
        <v>145.64233447549236</v>
      </c>
      <c r="N22" s="387">
        <v>-66.278917766530213</v>
      </c>
      <c r="O22" s="241"/>
      <c r="P22" s="265"/>
    </row>
    <row r="23" spans="1:16" s="242" customFormat="1" ht="29.25" customHeight="1">
      <c r="A23" s="239"/>
      <c r="B23" s="419" t="s">
        <v>42</v>
      </c>
      <c r="C23" s="284">
        <v>3.8008569917520001</v>
      </c>
      <c r="D23" s="284">
        <v>9.2489143980030004</v>
      </c>
      <c r="E23" s="284">
        <v>12.257644945598001</v>
      </c>
      <c r="F23" s="284"/>
      <c r="G23" s="284">
        <v>95.258642000000009</v>
      </c>
      <c r="H23" s="284">
        <v>16.180920010958907</v>
      </c>
      <c r="I23" s="285"/>
      <c r="J23" s="387">
        <v>0.9639948625595387</v>
      </c>
      <c r="K23" s="387">
        <v>0.89270445839657808</v>
      </c>
      <c r="L23" s="360"/>
      <c r="M23" s="387">
        <v>143.33760565244856</v>
      </c>
      <c r="N23" s="387">
        <v>32.530634603393423</v>
      </c>
      <c r="O23" s="241"/>
      <c r="P23" s="265"/>
    </row>
    <row r="24" spans="1:16" s="242" customFormat="1" ht="29.25" customHeight="1">
      <c r="A24" s="239"/>
      <c r="B24" s="419" t="s">
        <v>30</v>
      </c>
      <c r="C24" s="284">
        <v>3.1568095365270001</v>
      </c>
      <c r="D24" s="284">
        <v>3.7837594319720003</v>
      </c>
      <c r="E24" s="284">
        <v>4.6037398725549998</v>
      </c>
      <c r="F24" s="284"/>
      <c r="G24" s="284">
        <v>41.935558</v>
      </c>
      <c r="H24" s="284">
        <v>7.1233002630136992</v>
      </c>
      <c r="I24" s="285"/>
      <c r="J24" s="387">
        <v>0.39437327416175133</v>
      </c>
      <c r="K24" s="387">
        <v>0.33528292977713126</v>
      </c>
      <c r="L24" s="360"/>
      <c r="M24" s="387">
        <v>19.860238262418136</v>
      </c>
      <c r="N24" s="387">
        <v>21.671051115309581</v>
      </c>
      <c r="O24" s="241"/>
      <c r="P24" s="265"/>
    </row>
    <row r="25" spans="1:16" s="242" customFormat="1" ht="29.25" customHeight="1">
      <c r="A25" s="239"/>
      <c r="B25" s="419" t="s">
        <v>43</v>
      </c>
      <c r="C25" s="284">
        <v>0.13632953154900082</v>
      </c>
      <c r="D25" s="284">
        <v>2.5575102162690007</v>
      </c>
      <c r="E25" s="284">
        <v>2.3254184993280003</v>
      </c>
      <c r="F25" s="284"/>
      <c r="G25" s="284">
        <v>41.430728000000002</v>
      </c>
      <c r="H25" s="284">
        <v>7.0375483178082199</v>
      </c>
      <c r="I25" s="285"/>
      <c r="J25" s="387">
        <v>0.26656390180875489</v>
      </c>
      <c r="K25" s="387">
        <v>0.16935646865293588</v>
      </c>
      <c r="L25" s="360"/>
      <c r="M25" s="387" t="s">
        <v>224</v>
      </c>
      <c r="N25" s="387">
        <v>-9.0749086930172638</v>
      </c>
      <c r="O25" s="241"/>
      <c r="P25" s="265"/>
    </row>
    <row r="26" spans="1:16" s="13" customFormat="1" ht="35.25" customHeight="1">
      <c r="A26" s="245"/>
      <c r="B26" s="421" t="s">
        <v>34</v>
      </c>
      <c r="C26" s="389">
        <v>360.19579054569897</v>
      </c>
      <c r="D26" s="389">
        <v>465.72217100082395</v>
      </c>
      <c r="E26" s="389">
        <v>682.90442131472594</v>
      </c>
      <c r="F26" s="288"/>
      <c r="G26" s="389">
        <v>6985.4401039999993</v>
      </c>
      <c r="H26" s="389">
        <v>1186.5679080767122</v>
      </c>
      <c r="I26" s="289">
        <v>0</v>
      </c>
      <c r="J26" s="389">
        <v>48.541240723538976</v>
      </c>
      <c r="K26" s="389">
        <v>49.734824615337189</v>
      </c>
      <c r="L26" s="389">
        <v>51.194137808721138</v>
      </c>
      <c r="M26" s="389">
        <v>29.29694994359923</v>
      </c>
      <c r="N26" s="389">
        <v>46.633435948987227</v>
      </c>
      <c r="O26" s="238"/>
      <c r="P26" s="265"/>
    </row>
    <row r="27" spans="1:16" s="13" customFormat="1" ht="29.25" customHeight="1">
      <c r="A27" s="237"/>
      <c r="B27" s="420" t="s">
        <v>49</v>
      </c>
      <c r="C27" s="388">
        <v>27.903280760362996</v>
      </c>
      <c r="D27" s="388">
        <v>72.818701377276</v>
      </c>
      <c r="E27" s="388">
        <v>120.293831430678</v>
      </c>
      <c r="F27" s="286"/>
      <c r="G27" s="388">
        <v>1425.0020000000002</v>
      </c>
      <c r="H27" s="388">
        <v>242.05513424657536</v>
      </c>
      <c r="I27" s="287"/>
      <c r="J27" s="388">
        <v>7.5897398338023292</v>
      </c>
      <c r="K27" s="388">
        <v>8.7608052046194818</v>
      </c>
      <c r="L27" s="361"/>
      <c r="M27" s="388">
        <v>160.96824241798828</v>
      </c>
      <c r="N27" s="388">
        <v>65.196342636532137</v>
      </c>
      <c r="O27" s="238"/>
      <c r="P27" s="265"/>
    </row>
    <row r="28" spans="1:16" s="242" customFormat="1" ht="29.25" customHeight="1">
      <c r="A28" s="239"/>
      <c r="B28" s="419" t="s">
        <v>100</v>
      </c>
      <c r="C28" s="284">
        <v>27.270603893742997</v>
      </c>
      <c r="D28" s="284">
        <v>71.932810918087995</v>
      </c>
      <c r="E28" s="284">
        <v>114.931757056501</v>
      </c>
      <c r="F28" s="284"/>
      <c r="G28" s="284">
        <v>1071.2470000000001</v>
      </c>
      <c r="H28" s="284">
        <v>181.96524383561643</v>
      </c>
      <c r="I28" s="285"/>
      <c r="J28" s="387">
        <v>7.4974053375903047</v>
      </c>
      <c r="K28" s="387">
        <v>8.3702939994633176</v>
      </c>
      <c r="L28" s="400"/>
      <c r="M28" s="387">
        <v>163.77417675958526</v>
      </c>
      <c r="N28" s="387">
        <v>59.776540899224926</v>
      </c>
      <c r="O28" s="246"/>
      <c r="P28" s="265"/>
    </row>
    <row r="29" spans="1:16" s="242" customFormat="1" ht="29.25" customHeight="1">
      <c r="A29" s="239"/>
      <c r="B29" s="419" t="s">
        <v>124</v>
      </c>
      <c r="C29" s="284">
        <v>2.9962594129E-2</v>
      </c>
      <c r="D29" s="284">
        <v>0.288936396609</v>
      </c>
      <c r="E29" s="284">
        <v>4.5167681655489993</v>
      </c>
      <c r="F29" s="284"/>
      <c r="G29" s="284">
        <v>333.75</v>
      </c>
      <c r="H29" s="284">
        <v>56.69178082191781</v>
      </c>
      <c r="I29" s="285"/>
      <c r="J29" s="387" t="s">
        <v>225</v>
      </c>
      <c r="K29" s="387">
        <v>0.32894892100601736</v>
      </c>
      <c r="L29" s="400"/>
      <c r="M29" s="387" t="s">
        <v>224</v>
      </c>
      <c r="N29" s="387" t="s">
        <v>224</v>
      </c>
      <c r="O29" s="246"/>
      <c r="P29" s="265"/>
    </row>
    <row r="30" spans="1:16" s="242" customFormat="1" ht="29.25" customHeight="1">
      <c r="A30" s="239"/>
      <c r="B30" s="419" t="s">
        <v>43</v>
      </c>
      <c r="C30" s="284">
        <v>0.60271427249099996</v>
      </c>
      <c r="D30" s="284">
        <v>0.59695406257900008</v>
      </c>
      <c r="E30" s="284">
        <v>0.84530620862800099</v>
      </c>
      <c r="F30" s="284"/>
      <c r="G30" s="284">
        <v>20.004999999999999</v>
      </c>
      <c r="H30" s="284">
        <v>3.3981095890410957</v>
      </c>
      <c r="I30" s="285"/>
      <c r="J30" s="387">
        <v>6.2219264310031157E-2</v>
      </c>
      <c r="K30" s="387">
        <v>6.1562284150147584E-2</v>
      </c>
      <c r="L30" s="400"/>
      <c r="M30" s="387">
        <v>-0.95571154938693326</v>
      </c>
      <c r="N30" s="387">
        <v>41.603225711548674</v>
      </c>
      <c r="O30" s="241"/>
      <c r="P30" s="265"/>
    </row>
    <row r="31" spans="1:16" s="13" customFormat="1" ht="29.25" customHeight="1">
      <c r="A31" s="237"/>
      <c r="B31" s="420" t="s">
        <v>63</v>
      </c>
      <c r="C31" s="388">
        <v>253.21418417183503</v>
      </c>
      <c r="D31" s="388">
        <v>420.89519488950606</v>
      </c>
      <c r="E31" s="388">
        <v>569.89278878635275</v>
      </c>
      <c r="F31" s="286"/>
      <c r="G31" s="388">
        <v>5234.5578959999993</v>
      </c>
      <c r="H31" s="388">
        <v>889.15777959452043</v>
      </c>
      <c r="I31" s="287"/>
      <c r="J31" s="388">
        <v>43.869019442658704</v>
      </c>
      <c r="K31" s="388">
        <v>41.504370180043324</v>
      </c>
      <c r="L31" s="361"/>
      <c r="M31" s="388">
        <v>66.221018094262888</v>
      </c>
      <c r="N31" s="388">
        <v>35.400165101899461</v>
      </c>
      <c r="O31" s="238"/>
      <c r="P31" s="265"/>
    </row>
    <row r="32" spans="1:16" s="242" customFormat="1" ht="29.25" customHeight="1">
      <c r="A32" s="239"/>
      <c r="B32" s="419" t="s">
        <v>214</v>
      </c>
      <c r="C32" s="284">
        <v>2.919602891427</v>
      </c>
      <c r="D32" s="284">
        <v>1.909954637869</v>
      </c>
      <c r="E32" s="284">
        <v>5.0807422844E-2</v>
      </c>
      <c r="F32" s="284"/>
      <c r="G32" s="284">
        <v>76.835751999999999</v>
      </c>
      <c r="H32" s="284">
        <v>13.051552394520547</v>
      </c>
      <c r="I32" s="285"/>
      <c r="J32" s="387">
        <v>0.19907054810941097</v>
      </c>
      <c r="K32" s="387" t="s">
        <v>225</v>
      </c>
      <c r="L32" s="360"/>
      <c r="M32" s="387">
        <v>-34.581697960455131</v>
      </c>
      <c r="N32" s="387">
        <v>-97.339862327793952</v>
      </c>
      <c r="O32" s="247"/>
      <c r="P32" s="265"/>
    </row>
    <row r="33" spans="1:16" s="242" customFormat="1" ht="29.25" customHeight="1">
      <c r="A33" s="239"/>
      <c r="B33" s="419" t="s">
        <v>31</v>
      </c>
      <c r="C33" s="284">
        <v>1.9671918011810001</v>
      </c>
      <c r="D33" s="284">
        <v>6.6736110200000002E-4</v>
      </c>
      <c r="E33" s="284">
        <v>0.10010050226</v>
      </c>
      <c r="F33" s="284"/>
      <c r="G33" s="284">
        <v>0.50049999999999994</v>
      </c>
      <c r="H33" s="284">
        <v>8.5016438356164376E-2</v>
      </c>
      <c r="I33" s="285"/>
      <c r="J33" s="387" t="s">
        <v>225</v>
      </c>
      <c r="K33" s="387" t="s">
        <v>225</v>
      </c>
      <c r="L33" s="360"/>
      <c r="M33" s="387">
        <v>-99.96607544309613</v>
      </c>
      <c r="N33" s="387" t="s">
        <v>224</v>
      </c>
      <c r="O33" s="247"/>
      <c r="P33" s="265"/>
    </row>
    <row r="34" spans="1:16" s="242" customFormat="1" ht="29.25" customHeight="1">
      <c r="A34" s="239"/>
      <c r="B34" s="419" t="s">
        <v>215</v>
      </c>
      <c r="C34" s="284">
        <v>224.444272164522</v>
      </c>
      <c r="D34" s="284">
        <v>376.44439715985499</v>
      </c>
      <c r="E34" s="284">
        <v>469.50730090792598</v>
      </c>
      <c r="F34" s="284"/>
      <c r="G34" s="284">
        <v>4565.3273299999937</v>
      </c>
      <c r="H34" s="284">
        <v>775.48025879451939</v>
      </c>
      <c r="I34" s="285"/>
      <c r="J34" s="387">
        <v>39.236006441986</v>
      </c>
      <c r="K34" s="387">
        <v>34.193457440678181</v>
      </c>
      <c r="L34" s="360"/>
      <c r="M34" s="387">
        <v>67.722879951204078</v>
      </c>
      <c r="N34" s="387">
        <v>24.721553687662492</v>
      </c>
      <c r="O34" s="247"/>
      <c r="P34" s="265"/>
    </row>
    <row r="35" spans="1:16" s="242" customFormat="1" ht="29.25" customHeight="1">
      <c r="A35" s="239"/>
      <c r="B35" s="419" t="s">
        <v>14</v>
      </c>
      <c r="C35" s="284">
        <v>2.9875301649999999</v>
      </c>
      <c r="D35" s="284">
        <v>2.8309589399999999</v>
      </c>
      <c r="E35" s="284">
        <v>3.3526851510000002</v>
      </c>
      <c r="F35" s="284"/>
      <c r="G35" s="284">
        <v>43.622497000000003</v>
      </c>
      <c r="H35" s="284">
        <v>7.4098488054794522</v>
      </c>
      <c r="I35" s="285"/>
      <c r="J35" s="387">
        <v>0.2950648861953184</v>
      </c>
      <c r="K35" s="387">
        <v>0.24417063760461943</v>
      </c>
      <c r="L35" s="360"/>
      <c r="M35" s="387">
        <v>-5.2408249072859121</v>
      </c>
      <c r="N35" s="387">
        <v>18.429310422990454</v>
      </c>
      <c r="O35" s="247"/>
      <c r="P35" s="265"/>
    </row>
    <row r="36" spans="1:16" s="242" customFormat="1" ht="29.25" customHeight="1">
      <c r="A36" s="239"/>
      <c r="B36" s="419" t="s">
        <v>216</v>
      </c>
      <c r="C36" s="284">
        <v>2.0923987236759998</v>
      </c>
      <c r="D36" s="284">
        <v>7.4443571363459995</v>
      </c>
      <c r="E36" s="284">
        <v>15.187499540581999</v>
      </c>
      <c r="F36" s="284"/>
      <c r="G36" s="284">
        <v>80.933746999999997</v>
      </c>
      <c r="H36" s="284">
        <v>13.747650175342464</v>
      </c>
      <c r="I36" s="285"/>
      <c r="J36" s="387">
        <v>0.77590966092685143</v>
      </c>
      <c r="K36" s="387">
        <v>1.1060810304056408</v>
      </c>
      <c r="L36" s="360"/>
      <c r="M36" s="387">
        <v>255.78100158976827</v>
      </c>
      <c r="N36" s="387">
        <v>104.01358052035445</v>
      </c>
      <c r="O36" s="247"/>
      <c r="P36" s="265"/>
    </row>
    <row r="37" spans="1:16" s="242" customFormat="1" ht="29.25" customHeight="1">
      <c r="A37" s="239"/>
      <c r="B37" s="419" t="s">
        <v>217</v>
      </c>
      <c r="C37" s="284">
        <v>6.7488075810399994</v>
      </c>
      <c r="D37" s="284">
        <v>16.257063876813</v>
      </c>
      <c r="E37" s="284">
        <v>26.523495610991002</v>
      </c>
      <c r="F37" s="284"/>
      <c r="G37" s="284">
        <v>200.57034200000001</v>
      </c>
      <c r="H37" s="284">
        <v>34.069482750684934</v>
      </c>
      <c r="I37" s="285"/>
      <c r="J37" s="387">
        <v>1.6944395183216079</v>
      </c>
      <c r="K37" s="387">
        <v>1.9316632917073453</v>
      </c>
      <c r="L37" s="360"/>
      <c r="M37" s="387">
        <v>140.88794474575562</v>
      </c>
      <c r="N37" s="387">
        <v>63.150589872632111</v>
      </c>
      <c r="O37" s="247"/>
      <c r="P37" s="265"/>
    </row>
    <row r="38" spans="1:16" s="242" customFormat="1" ht="29.25" customHeight="1">
      <c r="A38" s="239"/>
      <c r="B38" s="419" t="s">
        <v>32</v>
      </c>
      <c r="C38" s="284">
        <v>9.9903580265570007</v>
      </c>
      <c r="D38" s="284">
        <v>15.988370184919001</v>
      </c>
      <c r="E38" s="284">
        <v>17.417825993219001</v>
      </c>
      <c r="F38" s="284"/>
      <c r="G38" s="284">
        <v>161.92641</v>
      </c>
      <c r="H38" s="284">
        <v>27.505308000000003</v>
      </c>
      <c r="I38" s="285"/>
      <c r="J38" s="387">
        <v>1.6664341408857548</v>
      </c>
      <c r="K38" s="387">
        <v>1.26851209908037</v>
      </c>
      <c r="L38" s="360"/>
      <c r="M38" s="387">
        <v>60.038010073489914</v>
      </c>
      <c r="N38" s="387">
        <v>8.9405973952763134</v>
      </c>
      <c r="O38" s="247"/>
      <c r="P38" s="265"/>
    </row>
    <row r="39" spans="1:16" s="242" customFormat="1" ht="30" customHeight="1">
      <c r="A39" s="239"/>
      <c r="B39" s="419" t="s">
        <v>43</v>
      </c>
      <c r="C39" s="284">
        <v>2.064022818432</v>
      </c>
      <c r="D39" s="284">
        <v>1.9425592602055987E-2</v>
      </c>
      <c r="E39" s="284">
        <v>37.753073657530791</v>
      </c>
      <c r="F39" s="284"/>
      <c r="G39" s="284">
        <v>104.84131800000652</v>
      </c>
      <c r="H39" s="284">
        <v>17.808662235617547</v>
      </c>
      <c r="I39" s="285"/>
      <c r="J39" s="387" t="s">
        <v>225</v>
      </c>
      <c r="K39" s="387">
        <v>2.749495300429257</v>
      </c>
      <c r="L39" s="360"/>
      <c r="M39" s="387">
        <v>-99.058847972581361</v>
      </c>
      <c r="N39" s="387" t="s">
        <v>224</v>
      </c>
      <c r="O39" s="247"/>
      <c r="P39" s="265"/>
    </row>
    <row r="40" spans="1:16" s="13" customFormat="1" ht="34.5" customHeight="1">
      <c r="A40" s="237"/>
      <c r="B40" s="421" t="s">
        <v>33</v>
      </c>
      <c r="C40" s="389">
        <v>281.117464932198</v>
      </c>
      <c r="D40" s="389">
        <v>493.71389626678206</v>
      </c>
      <c r="E40" s="389">
        <v>690.18662021703074</v>
      </c>
      <c r="F40" s="288"/>
      <c r="G40" s="389">
        <v>6659.5598959999998</v>
      </c>
      <c r="H40" s="389">
        <v>1131.2129138410958</v>
      </c>
      <c r="I40" s="289"/>
      <c r="J40" s="389">
        <v>51.458759276461031</v>
      </c>
      <c r="K40" s="389">
        <v>50.265175384662811</v>
      </c>
      <c r="L40" s="401"/>
      <c r="M40" s="389">
        <v>75.625479685461613</v>
      </c>
      <c r="N40" s="389">
        <v>39.794853950005717</v>
      </c>
      <c r="O40" s="238"/>
      <c r="P40" s="265"/>
    </row>
    <row r="41" spans="1:16" s="13" customFormat="1" ht="34.5" customHeight="1" thickBot="1">
      <c r="A41" s="237"/>
      <c r="B41" s="290" t="s">
        <v>64</v>
      </c>
      <c r="C41" s="390">
        <v>641.31325547789697</v>
      </c>
      <c r="D41" s="390">
        <v>959.43606726760595</v>
      </c>
      <c r="E41" s="390">
        <v>1373.0910415317567</v>
      </c>
      <c r="F41" s="291"/>
      <c r="G41" s="390">
        <v>13645</v>
      </c>
      <c r="H41" s="390">
        <v>2317.7808219178082</v>
      </c>
      <c r="I41" s="292"/>
      <c r="J41" s="390">
        <v>100</v>
      </c>
      <c r="K41" s="390">
        <v>100</v>
      </c>
      <c r="L41" s="402"/>
      <c r="M41" s="390">
        <v>49.60490198392182</v>
      </c>
      <c r="N41" s="390">
        <v>43.114386500207928</v>
      </c>
      <c r="O41" s="238"/>
      <c r="P41" s="265"/>
    </row>
    <row r="42" spans="1:16" ht="6.75" customHeight="1">
      <c r="B42" s="224"/>
      <c r="C42" s="260">
        <v>26686.847243404998</v>
      </c>
      <c r="D42" s="260">
        <v>35054.555319214</v>
      </c>
      <c r="E42" s="260">
        <v>44776.184221660005</v>
      </c>
      <c r="F42" s="260"/>
      <c r="G42" s="260">
        <v>1038280.705</v>
      </c>
      <c r="H42" s="260">
        <v>88182.744808219184</v>
      </c>
      <c r="I42" s="261"/>
      <c r="J42" s="261"/>
      <c r="K42" s="261"/>
      <c r="L42" s="436"/>
      <c r="M42" s="436"/>
      <c r="N42" s="436"/>
      <c r="O42" s="241"/>
    </row>
    <row r="43" spans="1:16" ht="27.95" customHeight="1">
      <c r="A43" s="248"/>
      <c r="B43" s="370" t="s">
        <v>200</v>
      </c>
      <c r="C43" s="260"/>
      <c r="D43" s="260"/>
      <c r="E43" s="260"/>
      <c r="F43" s="260"/>
      <c r="G43" s="260"/>
      <c r="H43" s="260"/>
      <c r="I43" s="262"/>
      <c r="J43" s="262"/>
      <c r="K43" s="437"/>
      <c r="L43" s="437"/>
      <c r="M43" s="437"/>
      <c r="N43" s="437"/>
      <c r="O43" s="241"/>
    </row>
    <row r="44" spans="1:16" ht="27.95" customHeight="1">
      <c r="B44" s="371" t="s">
        <v>212</v>
      </c>
      <c r="C44" s="263"/>
      <c r="D44" s="263"/>
      <c r="E44" s="263"/>
      <c r="F44" s="263"/>
      <c r="G44" s="263"/>
      <c r="H44" s="263"/>
      <c r="I44" s="262"/>
      <c r="J44" s="262"/>
      <c r="K44" s="437"/>
      <c r="L44" s="437"/>
      <c r="M44" s="437"/>
      <c r="N44" s="437"/>
      <c r="O44" s="241"/>
    </row>
    <row r="45" spans="1:16" ht="27.95" customHeight="1">
      <c r="B45" s="435" t="s">
        <v>223</v>
      </c>
      <c r="C45" s="435"/>
      <c r="D45" s="435"/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241"/>
    </row>
    <row r="46" spans="1:16" ht="27.95" customHeight="1">
      <c r="B46" s="371"/>
      <c r="C46" s="126"/>
      <c r="D46" s="126"/>
      <c r="E46" s="126"/>
      <c r="F46" s="126"/>
      <c r="G46" s="126"/>
      <c r="H46" s="126"/>
      <c r="I46" s="367"/>
      <c r="J46" s="367"/>
      <c r="K46" s="366"/>
      <c r="L46" s="366"/>
      <c r="M46" s="366"/>
      <c r="N46" s="366"/>
      <c r="O46" s="241"/>
    </row>
  </sheetData>
  <mergeCells count="11">
    <mergeCell ref="B45:N45"/>
    <mergeCell ref="L42:N42"/>
    <mergeCell ref="K43:N43"/>
    <mergeCell ref="K44:N44"/>
    <mergeCell ref="C2:H2"/>
    <mergeCell ref="K2:L2"/>
    <mergeCell ref="M2:N2"/>
    <mergeCell ref="C4:E5"/>
    <mergeCell ref="J5:K5"/>
    <mergeCell ref="M5:N5"/>
    <mergeCell ref="C3:H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R305"/>
  <sheetViews>
    <sheetView rightToLeft="1" zoomScale="60" zoomScaleNormal="60" workbookViewId="0">
      <selection activeCell="Y42" sqref="Y42"/>
    </sheetView>
  </sheetViews>
  <sheetFormatPr defaultColWidth="9.140625" defaultRowHeight="15.75"/>
  <cols>
    <col min="1" max="2" width="9.140625" style="334"/>
    <col min="3" max="3" width="25.28515625" style="334" customWidth="1"/>
    <col min="4" max="4" width="12.140625" style="334" customWidth="1"/>
    <col min="5" max="5" width="13.42578125" style="334" customWidth="1"/>
    <col min="6" max="6" width="13.7109375" style="334" bestFit="1" customWidth="1"/>
    <col min="7" max="11" width="10.42578125" style="334" bestFit="1" customWidth="1"/>
    <col min="12" max="16384" width="9.140625" style="334"/>
  </cols>
  <sheetData>
    <row r="3" spans="3:5">
      <c r="C3" s="334" t="s">
        <v>129</v>
      </c>
      <c r="D3" s="334">
        <v>1396</v>
      </c>
      <c r="E3" s="334">
        <v>1397</v>
      </c>
    </row>
    <row r="4" spans="3:5">
      <c r="C4" s="334" t="s">
        <v>150</v>
      </c>
      <c r="D4" s="264" t="e">
        <f>#REF!</f>
        <v>#REF!</v>
      </c>
      <c r="E4" s="264" t="e">
        <f>#REF!</f>
        <v>#REF!</v>
      </c>
    </row>
    <row r="5" spans="3:5">
      <c r="C5" s="334" t="s">
        <v>151</v>
      </c>
      <c r="D5" s="264" t="e">
        <f>#REF!</f>
        <v>#REF!</v>
      </c>
      <c r="E5" s="264" t="e">
        <f>#REF!</f>
        <v>#REF!</v>
      </c>
    </row>
    <row r="6" spans="3:5">
      <c r="C6" s="334" t="s">
        <v>130</v>
      </c>
      <c r="D6" s="264" t="e">
        <f>#REF!</f>
        <v>#REF!</v>
      </c>
      <c r="E6" s="264" t="e">
        <f>#REF!</f>
        <v>#REF!</v>
      </c>
    </row>
    <row r="7" spans="3:5">
      <c r="C7" s="334" t="s">
        <v>131</v>
      </c>
      <c r="D7" s="264" t="e">
        <f>#REF!</f>
        <v>#REF!</v>
      </c>
      <c r="E7" s="264" t="e">
        <f>#REF!</f>
        <v>#REF!</v>
      </c>
    </row>
    <row r="8" spans="3:5">
      <c r="D8" s="264"/>
      <c r="E8" s="264"/>
    </row>
    <row r="9" spans="3:5">
      <c r="D9" s="264"/>
      <c r="E9" s="264"/>
    </row>
    <row r="10" spans="3:5">
      <c r="D10" s="264"/>
      <c r="E10" s="264"/>
    </row>
    <row r="11" spans="3:5">
      <c r="D11" s="264"/>
      <c r="E11" s="264"/>
    </row>
    <row r="12" spans="3:5">
      <c r="D12" s="264"/>
      <c r="E12" s="264"/>
    </row>
    <row r="13" spans="3:5">
      <c r="D13" s="264"/>
      <c r="E13" s="264"/>
    </row>
    <row r="14" spans="3:5">
      <c r="D14" s="264"/>
      <c r="E14" s="264"/>
    </row>
    <row r="15" spans="3:5">
      <c r="D15" s="264"/>
      <c r="E15" s="264"/>
    </row>
    <row r="16" spans="3:5">
      <c r="D16" s="264"/>
      <c r="E16" s="264"/>
    </row>
    <row r="17" spans="3:5">
      <c r="D17" s="264"/>
      <c r="E17" s="264"/>
    </row>
    <row r="18" spans="3:5">
      <c r="D18" s="264"/>
      <c r="E18" s="264"/>
    </row>
    <row r="19" spans="3:5">
      <c r="D19" s="264"/>
      <c r="E19" s="264"/>
    </row>
    <row r="20" spans="3:5">
      <c r="C20" s="334" t="s">
        <v>132</v>
      </c>
      <c r="D20" s="264">
        <v>1396</v>
      </c>
      <c r="E20" s="264">
        <v>1397</v>
      </c>
    </row>
    <row r="21" spans="3:5">
      <c r="C21" s="334" t="s">
        <v>133</v>
      </c>
      <c r="D21" s="264" t="e">
        <f>#REF!</f>
        <v>#REF!</v>
      </c>
      <c r="E21" s="264" t="e">
        <f>#REF!</f>
        <v>#REF!</v>
      </c>
    </row>
    <row r="22" spans="3:5">
      <c r="C22" s="334" t="s">
        <v>134</v>
      </c>
      <c r="D22" s="264" t="e">
        <f>#REF!</f>
        <v>#REF!</v>
      </c>
      <c r="E22" s="264" t="e">
        <f>#REF!</f>
        <v>#REF!</v>
      </c>
    </row>
    <row r="23" spans="3:5">
      <c r="C23" s="334" t="s">
        <v>135</v>
      </c>
      <c r="D23" s="264" t="e">
        <f>#REF!</f>
        <v>#REF!</v>
      </c>
      <c r="E23" s="264" t="e">
        <f>#REF!</f>
        <v>#REF!</v>
      </c>
    </row>
    <row r="24" spans="3:5">
      <c r="C24" s="334" t="s">
        <v>136</v>
      </c>
      <c r="D24" s="264" t="e">
        <f>#REF!</f>
        <v>#REF!</v>
      </c>
      <c r="E24" s="264" t="e">
        <f>#REF!</f>
        <v>#REF!</v>
      </c>
    </row>
    <row r="34" spans="2:12" ht="20.25">
      <c r="D34" s="337" t="s">
        <v>137</v>
      </c>
      <c r="E34" s="337" t="s">
        <v>138</v>
      </c>
      <c r="F34" s="337" t="s">
        <v>139</v>
      </c>
      <c r="G34" s="337" t="s">
        <v>140</v>
      </c>
      <c r="H34" s="337" t="s">
        <v>141</v>
      </c>
      <c r="I34" s="337" t="s">
        <v>142</v>
      </c>
      <c r="J34" s="337" t="s">
        <v>143</v>
      </c>
      <c r="K34" s="337" t="s">
        <v>144</v>
      </c>
      <c r="L34" s="337" t="s">
        <v>169</v>
      </c>
    </row>
    <row r="35" spans="2:12">
      <c r="C35" s="339" t="s">
        <v>159</v>
      </c>
      <c r="D35" s="264">
        <v>64.883464163528998</v>
      </c>
      <c r="E35" s="264">
        <v>103.201149412557</v>
      </c>
      <c r="F35" s="264">
        <v>96.122428882143979</v>
      </c>
      <c r="G35" s="264">
        <v>156.85176073938999</v>
      </c>
      <c r="H35" s="264">
        <v>103.9816648871461</v>
      </c>
      <c r="I35" s="264">
        <v>109.63083517313399</v>
      </c>
      <c r="J35" s="264">
        <v>120.83787890874396</v>
      </c>
      <c r="K35" s="264">
        <v>99.796871766589931</v>
      </c>
      <c r="L35" s="264">
        <v>154.08120893031401</v>
      </c>
    </row>
    <row r="36" spans="2:12">
      <c r="C36" s="339" t="s">
        <v>158</v>
      </c>
      <c r="D36" s="264">
        <v>124.722992803653</v>
      </c>
      <c r="E36" s="264">
        <v>236.43745486890299</v>
      </c>
      <c r="F36" s="264">
        <v>226.91658315846411</v>
      </c>
      <c r="G36" s="264">
        <v>266.00805943749378</v>
      </c>
      <c r="H36" s="264">
        <v>266.32693001868017</v>
      </c>
      <c r="I36" s="264">
        <v>189.53026730508893</v>
      </c>
      <c r="J36" s="264">
        <v>191.79226792330411</v>
      </c>
      <c r="K36" s="264">
        <v>231.36765830261425</v>
      </c>
      <c r="L36" s="264">
        <v>206.722455042749</v>
      </c>
    </row>
    <row r="37" spans="2:12">
      <c r="C37" s="334" t="s">
        <v>145</v>
      </c>
      <c r="D37" s="264">
        <v>93.979481640123993</v>
      </c>
      <c r="E37" s="264">
        <v>163.87020545634599</v>
      </c>
      <c r="F37" s="264">
        <v>131.88415427632</v>
      </c>
      <c r="G37" s="264">
        <v>108.73684569810395</v>
      </c>
      <c r="H37" s="264">
        <v>161.02693113153404</v>
      </c>
      <c r="I37" s="264">
        <v>69.287766131954967</v>
      </c>
      <c r="J37" s="264">
        <v>78.384389014560142</v>
      </c>
      <c r="K37" s="264">
        <v>136.41868653602432</v>
      </c>
    </row>
    <row r="38" spans="2:12">
      <c r="D38" s="264"/>
      <c r="E38" s="264"/>
      <c r="F38" s="264"/>
      <c r="G38" s="264"/>
      <c r="H38" s="264"/>
      <c r="I38" s="264"/>
      <c r="J38" s="264"/>
      <c r="K38" s="264"/>
    </row>
    <row r="42" spans="2:12" ht="31.5">
      <c r="D42" s="338" t="s">
        <v>148</v>
      </c>
      <c r="E42" s="334" t="s">
        <v>126</v>
      </c>
    </row>
    <row r="43" spans="2:12">
      <c r="B43" s="334">
        <v>1</v>
      </c>
      <c r="C43" s="334" t="s">
        <v>146</v>
      </c>
      <c r="D43" s="264" t="e">
        <f>#REF!</f>
        <v>#REF!</v>
      </c>
      <c r="E43" s="264" t="e">
        <f>#REF!</f>
        <v>#REF!</v>
      </c>
    </row>
    <row r="44" spans="2:12">
      <c r="B44" s="334">
        <v>2</v>
      </c>
      <c r="C44" s="334" t="e">
        <f>#REF!</f>
        <v>#REF!</v>
      </c>
      <c r="D44" s="264" t="e">
        <f>#REF!</f>
        <v>#REF!</v>
      </c>
      <c r="E44" s="264" t="e">
        <f>#REF!</f>
        <v>#REF!</v>
      </c>
    </row>
    <row r="45" spans="2:12">
      <c r="B45" s="334">
        <v>3</v>
      </c>
      <c r="C45" s="334" t="e">
        <f>#REF!</f>
        <v>#REF!</v>
      </c>
      <c r="D45" s="264" t="e">
        <f>#REF!</f>
        <v>#REF!</v>
      </c>
      <c r="E45" s="264" t="e">
        <f>#REF!</f>
        <v>#REF!</v>
      </c>
    </row>
    <row r="46" spans="2:12">
      <c r="B46" s="334">
        <v>4</v>
      </c>
      <c r="C46" s="334" t="e">
        <f>#REF!</f>
        <v>#REF!</v>
      </c>
      <c r="D46" s="264" t="e">
        <f>#REF!</f>
        <v>#REF!</v>
      </c>
      <c r="E46" s="264" t="e">
        <f>#REF!</f>
        <v>#REF!</v>
      </c>
    </row>
    <row r="47" spans="2:12">
      <c r="B47" s="334">
        <v>5</v>
      </c>
      <c r="D47" s="264"/>
      <c r="E47" s="264"/>
    </row>
    <row r="48" spans="2:12">
      <c r="B48" s="334">
        <v>6</v>
      </c>
      <c r="C48" s="334" t="s">
        <v>147</v>
      </c>
      <c r="D48" s="264" t="e">
        <f>#REF!</f>
        <v>#REF!</v>
      </c>
      <c r="E48" s="264" t="e">
        <f>#REF!</f>
        <v>#REF!</v>
      </c>
    </row>
    <row r="49" spans="2:5">
      <c r="B49" s="334">
        <v>7</v>
      </c>
      <c r="C49" s="334" t="e">
        <f>#REF!</f>
        <v>#REF!</v>
      </c>
      <c r="D49" s="264" t="e">
        <f>#REF!</f>
        <v>#REF!</v>
      </c>
      <c r="E49" s="264" t="e">
        <f>#REF!</f>
        <v>#REF!</v>
      </c>
    </row>
    <row r="50" spans="2:5">
      <c r="B50" s="334">
        <v>8</v>
      </c>
      <c r="C50" s="334" t="e">
        <f>#REF!</f>
        <v>#REF!</v>
      </c>
      <c r="D50" s="264" t="e">
        <f>#REF!</f>
        <v>#REF!</v>
      </c>
      <c r="E50" s="264" t="e">
        <f>#REF!</f>
        <v>#REF!</v>
      </c>
    </row>
    <row r="51" spans="2:5">
      <c r="B51" s="334">
        <v>9</v>
      </c>
    </row>
    <row r="52" spans="2:5">
      <c r="B52" s="334">
        <v>10</v>
      </c>
      <c r="C52" s="341" t="s">
        <v>150</v>
      </c>
      <c r="D52" s="334">
        <v>100</v>
      </c>
      <c r="E52" s="264" t="e">
        <f>#REF!</f>
        <v>#REF!</v>
      </c>
    </row>
    <row r="59" spans="2:5" ht="31.5">
      <c r="D59" s="338" t="s">
        <v>149</v>
      </c>
      <c r="E59" s="334" t="s">
        <v>126</v>
      </c>
    </row>
    <row r="60" spans="2:5">
      <c r="B60" s="334">
        <v>1</v>
      </c>
      <c r="C60" s="334" t="e">
        <f>#REF!</f>
        <v>#REF!</v>
      </c>
      <c r="D60" s="264" t="e">
        <f>#REF!</f>
        <v>#REF!</v>
      </c>
      <c r="E60" s="264" t="e">
        <f>#REF!</f>
        <v>#REF!</v>
      </c>
    </row>
    <row r="61" spans="2:5">
      <c r="B61" s="334">
        <v>2</v>
      </c>
      <c r="C61" s="334" t="e">
        <f>#REF!</f>
        <v>#REF!</v>
      </c>
      <c r="D61" s="264" t="e">
        <f>#REF!</f>
        <v>#REF!</v>
      </c>
      <c r="E61" s="264" t="e">
        <f>#REF!</f>
        <v>#REF!</v>
      </c>
    </row>
    <row r="62" spans="2:5">
      <c r="B62" s="334">
        <v>3</v>
      </c>
      <c r="C62" s="334" t="e">
        <f>#REF!</f>
        <v>#REF!</v>
      </c>
      <c r="D62" s="264" t="e">
        <f>#REF!</f>
        <v>#REF!</v>
      </c>
      <c r="E62" s="264" t="e">
        <f>#REF!</f>
        <v>#REF!</v>
      </c>
    </row>
    <row r="63" spans="2:5">
      <c r="B63" s="334">
        <v>4</v>
      </c>
      <c r="C63" s="334" t="e">
        <f>#REF!</f>
        <v>#REF!</v>
      </c>
      <c r="D63" s="264" t="e">
        <f>#REF!</f>
        <v>#REF!</v>
      </c>
      <c r="E63" s="264" t="e">
        <f>#REF!</f>
        <v>#REF!</v>
      </c>
    </row>
    <row r="64" spans="2:5">
      <c r="B64" s="334">
        <v>5</v>
      </c>
      <c r="D64" s="264"/>
      <c r="E64" s="264"/>
    </row>
    <row r="65" spans="2:5">
      <c r="B65" s="334">
        <v>6</v>
      </c>
      <c r="C65" s="334" t="e">
        <f>#REF!</f>
        <v>#REF!</v>
      </c>
      <c r="D65" s="264" t="e">
        <f>#REF!</f>
        <v>#REF!</v>
      </c>
      <c r="E65" s="264" t="e">
        <f>#REF!</f>
        <v>#REF!</v>
      </c>
    </row>
    <row r="82" spans="3:6">
      <c r="D82" s="334">
        <v>1395</v>
      </c>
      <c r="E82" s="334">
        <v>1396</v>
      </c>
      <c r="F82" s="334">
        <v>1397</v>
      </c>
    </row>
    <row r="83" spans="3:6">
      <c r="C83" s="334" t="e">
        <f>#REF!</f>
        <v>#REF!</v>
      </c>
      <c r="D83" s="264" t="e">
        <f>#REF!</f>
        <v>#REF!</v>
      </c>
      <c r="E83" s="264" t="e">
        <f>#REF!</f>
        <v>#REF!</v>
      </c>
      <c r="F83" s="264" t="e">
        <f>#REF!</f>
        <v>#REF!</v>
      </c>
    </row>
    <row r="97" spans="3:14">
      <c r="D97" s="334">
        <v>1395</v>
      </c>
      <c r="E97" s="334">
        <v>1396</v>
      </c>
      <c r="F97" s="334">
        <v>1397</v>
      </c>
    </row>
    <row r="98" spans="3:14">
      <c r="C98" s="336" t="s">
        <v>125</v>
      </c>
      <c r="D98" s="264" t="e">
        <f>#REF!/1000</f>
        <v>#REF!</v>
      </c>
      <c r="E98" s="264" t="e">
        <f>#REF!/1000</f>
        <v>#REF!</v>
      </c>
      <c r="F98" s="264" t="e">
        <f>#REF!/1000</f>
        <v>#REF!</v>
      </c>
    </row>
    <row r="99" spans="3:14">
      <c r="C99" s="336" t="s">
        <v>133</v>
      </c>
      <c r="D99" s="264" t="e">
        <f>#REF!/1000</f>
        <v>#REF!</v>
      </c>
      <c r="E99" s="264" t="e">
        <f>#REF!/1000</f>
        <v>#REF!</v>
      </c>
      <c r="F99" s="264" t="e">
        <f>#REF!/1000</f>
        <v>#REF!</v>
      </c>
    </row>
    <row r="100" spans="3:14">
      <c r="C100" s="336" t="s">
        <v>145</v>
      </c>
      <c r="D100" s="264" t="e">
        <f>-#REF!/1000</f>
        <v>#REF!</v>
      </c>
      <c r="E100" s="264" t="e">
        <f>-#REF!/1000</f>
        <v>#REF!</v>
      </c>
      <c r="F100" s="264" t="e">
        <f>-#REF!/1000</f>
        <v>#REF!</v>
      </c>
    </row>
    <row r="112" spans="3:14">
      <c r="C112" s="336"/>
      <c r="D112" s="336"/>
      <c r="E112" s="336"/>
      <c r="F112" s="336"/>
      <c r="G112" s="336"/>
      <c r="H112" s="336"/>
      <c r="I112" s="336"/>
      <c r="J112" s="336"/>
      <c r="K112" s="336"/>
      <c r="L112" s="336"/>
      <c r="M112" s="336"/>
      <c r="N112" s="336"/>
    </row>
    <row r="113" spans="3:14">
      <c r="C113" s="336"/>
      <c r="D113" s="336">
        <v>1391</v>
      </c>
      <c r="E113" s="336">
        <v>1392</v>
      </c>
      <c r="F113" s="336">
        <v>1393</v>
      </c>
      <c r="G113" s="336">
        <v>1394</v>
      </c>
      <c r="H113" s="336">
        <v>1395</v>
      </c>
      <c r="I113" s="336">
        <v>1396</v>
      </c>
      <c r="J113" s="334">
        <v>1397</v>
      </c>
      <c r="K113" s="336"/>
      <c r="L113" s="354" t="s">
        <v>187</v>
      </c>
      <c r="M113" s="354" t="s">
        <v>188</v>
      </c>
      <c r="N113" s="354" t="s">
        <v>189</v>
      </c>
    </row>
    <row r="114" spans="3:14">
      <c r="C114" s="336" t="s">
        <v>152</v>
      </c>
      <c r="D114" s="264">
        <v>40.012225949292883</v>
      </c>
      <c r="E114" s="264">
        <v>43.471603504270007</v>
      </c>
      <c r="F114" s="264">
        <v>35.284369437131907</v>
      </c>
      <c r="G114" s="264">
        <v>33.677828757258965</v>
      </c>
      <c r="H114" s="264">
        <v>28.337798687502417</v>
      </c>
      <c r="I114" s="264">
        <v>32.032414298489989</v>
      </c>
      <c r="J114" s="334">
        <v>31.8</v>
      </c>
      <c r="K114" s="336"/>
      <c r="L114" s="264">
        <v>34.046022843379838</v>
      </c>
      <c r="M114" s="264" t="e">
        <f>#REF!</f>
        <v>#REF!</v>
      </c>
      <c r="N114" s="264" t="e">
        <f>#REF!</f>
        <v>#REF!</v>
      </c>
    </row>
    <row r="135" spans="3:6">
      <c r="C135" s="335"/>
      <c r="D135" s="335">
        <v>1396</v>
      </c>
      <c r="E135" s="335">
        <v>1397</v>
      </c>
    </row>
    <row r="136" spans="3:6">
      <c r="C136" s="344" t="s">
        <v>162</v>
      </c>
      <c r="D136" s="340">
        <v>30.22</v>
      </c>
      <c r="E136" s="340">
        <f>[3]Sheet1!$D$31/1000</f>
        <v>33.325000000000003</v>
      </c>
    </row>
    <row r="137" spans="3:6">
      <c r="C137" s="351" t="s">
        <v>182</v>
      </c>
      <c r="D137" s="340">
        <v>51</v>
      </c>
      <c r="E137" s="340">
        <f>[3]Sheet1!$D$32</f>
        <v>70.222222222222229</v>
      </c>
    </row>
    <row r="138" spans="3:6">
      <c r="C138" s="346" t="s">
        <v>165</v>
      </c>
      <c r="D138" s="347">
        <f>2.1*30</f>
        <v>63</v>
      </c>
      <c r="E138" s="347">
        <f>1.7*30</f>
        <v>51</v>
      </c>
    </row>
    <row r="140" spans="3:6">
      <c r="D140" s="335"/>
      <c r="E140" s="335"/>
      <c r="F140" s="335"/>
    </row>
    <row r="141" spans="3:6">
      <c r="E141" s="264"/>
    </row>
    <row r="142" spans="3:6">
      <c r="E142" s="264"/>
    </row>
    <row r="151" spans="2:12">
      <c r="D151" s="334">
        <v>1</v>
      </c>
      <c r="E151" s="334">
        <v>2</v>
      </c>
      <c r="F151" s="334">
        <v>3</v>
      </c>
      <c r="G151" s="339">
        <v>4</v>
      </c>
      <c r="H151" s="339">
        <v>5</v>
      </c>
      <c r="I151" s="339">
        <v>6</v>
      </c>
      <c r="J151" s="339">
        <v>7</v>
      </c>
      <c r="K151" s="339">
        <v>8</v>
      </c>
      <c r="L151" s="334">
        <v>9</v>
      </c>
    </row>
    <row r="152" spans="2:12" ht="20.25">
      <c r="D152" s="337" t="s">
        <v>137</v>
      </c>
      <c r="E152" s="337" t="s">
        <v>138</v>
      </c>
      <c r="F152" s="337" t="s">
        <v>139</v>
      </c>
      <c r="G152" s="337" t="s">
        <v>140</v>
      </c>
      <c r="H152" s="337" t="s">
        <v>141</v>
      </c>
      <c r="I152" s="337" t="s">
        <v>142</v>
      </c>
      <c r="J152" s="337" t="s">
        <v>143</v>
      </c>
      <c r="K152" s="337" t="s">
        <v>144</v>
      </c>
      <c r="L152" s="337" t="s">
        <v>169</v>
      </c>
    </row>
    <row r="153" spans="2:12">
      <c r="C153" s="345" t="s">
        <v>163</v>
      </c>
      <c r="D153" s="264">
        <v>3479.9989999999998</v>
      </c>
      <c r="E153" s="264">
        <v>8245.8590000000004</v>
      </c>
      <c r="F153" s="264">
        <v>214974.15400000001</v>
      </c>
      <c r="G153" s="264">
        <v>7392.8239999999641</v>
      </c>
      <c r="H153" s="264">
        <v>14976.46100000001</v>
      </c>
      <c r="I153" s="264">
        <v>17358.198000000004</v>
      </c>
      <c r="J153" s="264">
        <f>'[4]سرمايه‌اي ج7'!$F$26-'[5]سرمايه‌اي ج7'!$F$26</f>
        <v>47377.512389999989</v>
      </c>
      <c r="K153" s="264">
        <v>15829.938109999988</v>
      </c>
      <c r="L153" s="334">
        <v>-8.6699599999999606</v>
      </c>
    </row>
    <row r="154" spans="2:12">
      <c r="C154" s="345" t="s">
        <v>164</v>
      </c>
      <c r="D154" s="264" t="e">
        <f>#REF!</f>
        <v>#REF!</v>
      </c>
      <c r="E154" s="264" t="e">
        <f>#REF!</f>
        <v>#REF!</v>
      </c>
      <c r="F154" s="264" t="e">
        <f>#REF!</f>
        <v>#REF!</v>
      </c>
      <c r="G154" s="264" t="e">
        <f>#REF!</f>
        <v>#REF!</v>
      </c>
      <c r="H154" s="264" t="e">
        <f>#REF!</f>
        <v>#REF!</v>
      </c>
      <c r="I154" s="264" t="e">
        <f>#REF!</f>
        <v>#REF!</v>
      </c>
      <c r="J154" s="264" t="e">
        <f>#REF!</f>
        <v>#REF!</v>
      </c>
      <c r="K154" s="264" t="e">
        <f>#REF!</f>
        <v>#REF!</v>
      </c>
      <c r="L154" s="334">
        <v>-26.420831</v>
      </c>
    </row>
    <row r="155" spans="2:12">
      <c r="C155" s="348" t="s">
        <v>166</v>
      </c>
      <c r="D155" s="264" t="e">
        <f>D153/D156*100</f>
        <v>#REF!</v>
      </c>
      <c r="E155" s="264" t="e">
        <f t="shared" ref="E155:K155" si="0">E153/E156*100</f>
        <v>#REF!</v>
      </c>
      <c r="F155" s="264" t="e">
        <f t="shared" si="0"/>
        <v>#REF!</v>
      </c>
      <c r="G155" s="264" t="e">
        <f t="shared" si="0"/>
        <v>#REF!</v>
      </c>
      <c r="H155" s="264" t="e">
        <f t="shared" si="0"/>
        <v>#REF!</v>
      </c>
      <c r="I155" s="264" t="e">
        <f t="shared" si="0"/>
        <v>#REF!</v>
      </c>
      <c r="J155" s="264" t="e">
        <f t="shared" si="0"/>
        <v>#REF!</v>
      </c>
      <c r="K155" s="264" t="e">
        <f t="shared" si="0"/>
        <v>#REF!</v>
      </c>
      <c r="L155" s="334" t="e">
        <f>L153/L156*100</f>
        <v>#REF!</v>
      </c>
    </row>
    <row r="156" spans="2:12">
      <c r="B156" s="334" t="e">
        <f>#REF!</f>
        <v>#REF!</v>
      </c>
      <c r="C156" s="339" t="s">
        <v>154</v>
      </c>
      <c r="D156" s="342" t="e">
        <f t="shared" ref="D156:I156" si="1">$B$156*31/365</f>
        <v>#REF!</v>
      </c>
      <c r="E156" s="342" t="e">
        <f t="shared" si="1"/>
        <v>#REF!</v>
      </c>
      <c r="F156" s="342" t="e">
        <f t="shared" si="1"/>
        <v>#REF!</v>
      </c>
      <c r="G156" s="342" t="e">
        <f t="shared" si="1"/>
        <v>#REF!</v>
      </c>
      <c r="H156" s="342" t="e">
        <f t="shared" si="1"/>
        <v>#REF!</v>
      </c>
      <c r="I156" s="342" t="e">
        <f t="shared" si="1"/>
        <v>#REF!</v>
      </c>
      <c r="J156" s="342" t="e">
        <f>$B$156*30/365</f>
        <v>#REF!</v>
      </c>
      <c r="K156" s="342" t="e">
        <f>$B$156*30/365</f>
        <v>#REF!</v>
      </c>
      <c r="L156" s="342" t="e">
        <f>$B$156*30/365</f>
        <v>#REF!</v>
      </c>
    </row>
    <row r="157" spans="2:12">
      <c r="C157" s="334" t="e">
        <f>#REF!</f>
        <v>#REF!</v>
      </c>
      <c r="D157" s="264">
        <v>64699.955037412998</v>
      </c>
      <c r="E157" s="264">
        <v>118299.178752885</v>
      </c>
      <c r="F157" s="264">
        <v>142993.23907629601</v>
      </c>
      <c r="G157" s="264">
        <v>93574.40514883498</v>
      </c>
      <c r="H157" s="264">
        <v>119186.04220998596</v>
      </c>
      <c r="I157" s="264">
        <v>91811.760899989051</v>
      </c>
    </row>
    <row r="176" spans="4:5">
      <c r="D176" s="339" t="s">
        <v>156</v>
      </c>
      <c r="E176" s="339" t="s">
        <v>126</v>
      </c>
    </row>
    <row r="177" spans="2:12">
      <c r="C177" s="339" t="s">
        <v>153</v>
      </c>
      <c r="D177" s="264" t="e">
        <f>#REF!</f>
        <v>#REF!</v>
      </c>
      <c r="E177" s="264" t="e">
        <f>#REF!</f>
        <v>#REF!</v>
      </c>
    </row>
    <row r="178" spans="2:12">
      <c r="C178" s="334" t="e">
        <f>#REF!</f>
        <v>#REF!</v>
      </c>
      <c r="D178" s="264" t="e">
        <f>#REF!</f>
        <v>#REF!</v>
      </c>
      <c r="E178" s="264" t="e">
        <f>#REF!</f>
        <v>#REF!</v>
      </c>
    </row>
    <row r="179" spans="2:12">
      <c r="C179" s="334" t="e">
        <f>#REF!</f>
        <v>#REF!</v>
      </c>
      <c r="D179" s="264" t="e">
        <f>#REF!</f>
        <v>#REF!</v>
      </c>
      <c r="E179" s="264" t="e">
        <f>#REF!</f>
        <v>#REF!</v>
      </c>
    </row>
    <row r="180" spans="2:12">
      <c r="C180" s="339" t="s">
        <v>155</v>
      </c>
      <c r="D180" s="264" t="e">
        <f>100-SUM(D177:D179)-D181</f>
        <v>#REF!</v>
      </c>
      <c r="E180" s="264" t="e">
        <f>#REF!</f>
        <v>#REF!</v>
      </c>
    </row>
    <row r="181" spans="2:12">
      <c r="C181" s="353" t="s">
        <v>185</v>
      </c>
      <c r="D181" s="264" t="e">
        <f>#REF!</f>
        <v>#REF!</v>
      </c>
      <c r="E181" s="264"/>
    </row>
    <row r="190" spans="2:12" ht="20.25">
      <c r="C190" s="339"/>
      <c r="D190" s="337" t="s">
        <v>137</v>
      </c>
      <c r="E190" s="337" t="s">
        <v>138</v>
      </c>
      <c r="F190" s="337" t="s">
        <v>139</v>
      </c>
      <c r="G190" s="337" t="s">
        <v>140</v>
      </c>
      <c r="H190" s="337" t="s">
        <v>141</v>
      </c>
      <c r="I190" s="337" t="s">
        <v>142</v>
      </c>
      <c r="J190" s="337" t="s">
        <v>143</v>
      </c>
      <c r="K190" s="337" t="s">
        <v>144</v>
      </c>
      <c r="L190" s="337" t="s">
        <v>169</v>
      </c>
    </row>
    <row r="191" spans="2:12">
      <c r="B191" s="334" t="e">
        <f>-#REF!</f>
        <v>#REF!</v>
      </c>
      <c r="C191" s="348" t="s">
        <v>167</v>
      </c>
      <c r="D191" s="264" t="e">
        <f t="shared" ref="D191:I191" si="2">$B$191*31/365</f>
        <v>#REF!</v>
      </c>
      <c r="E191" s="264" t="e">
        <f t="shared" si="2"/>
        <v>#REF!</v>
      </c>
      <c r="F191" s="264" t="e">
        <f t="shared" si="2"/>
        <v>#REF!</v>
      </c>
      <c r="G191" s="264" t="e">
        <f t="shared" si="2"/>
        <v>#REF!</v>
      </c>
      <c r="H191" s="264" t="e">
        <f t="shared" si="2"/>
        <v>#REF!</v>
      </c>
      <c r="I191" s="264" t="e">
        <f t="shared" si="2"/>
        <v>#REF!</v>
      </c>
      <c r="J191" s="264" t="e">
        <f>$B$191*30/365</f>
        <v>#REF!</v>
      </c>
      <c r="K191" s="264" t="e">
        <f>$B$191*30/365</f>
        <v>#REF!</v>
      </c>
      <c r="L191" s="264" t="e">
        <f>$B$191*30/365</f>
        <v>#REF!</v>
      </c>
    </row>
    <row r="192" spans="2:12">
      <c r="C192" s="348" t="s">
        <v>168</v>
      </c>
      <c r="D192" s="264">
        <v>32886.606198902999</v>
      </c>
      <c r="E192" s="264">
        <v>54631.17282159</v>
      </c>
      <c r="F192" s="264">
        <v>202556.43152938501</v>
      </c>
      <c r="G192" s="264">
        <v>22449.707673432</v>
      </c>
      <c r="H192" s="264">
        <v>56575.095411017202</v>
      </c>
      <c r="I192" s="264">
        <v>3156.48843870882</v>
      </c>
      <c r="J192" s="264">
        <v>19178.758082004999</v>
      </c>
      <c r="K192" s="264">
        <v>35015.809487590501</v>
      </c>
      <c r="L192" s="334" t="e">
        <f>(L197-K197)*1000</f>
        <v>#REF!</v>
      </c>
    </row>
    <row r="193" spans="3:12">
      <c r="C193" s="339" t="s">
        <v>157</v>
      </c>
      <c r="D193" s="264">
        <v>64699.955037412998</v>
      </c>
      <c r="E193" s="264">
        <v>118299.178752885</v>
      </c>
      <c r="F193" s="264">
        <v>142993.23907629601</v>
      </c>
      <c r="G193" s="264">
        <v>93574.40514883498</v>
      </c>
      <c r="H193" s="264">
        <v>119186.04220998596</v>
      </c>
      <c r="I193" s="264">
        <v>91811.760899989051</v>
      </c>
      <c r="J193" s="264">
        <f>'[4]وضع مالی ج2'!$G$26-'[5]وضع مالی ج2'!$G$26</f>
        <v>97211.118386591086</v>
      </c>
      <c r="K193" s="264" t="e">
        <f>#REF!-'[4]وضع مالی ج2'!$G$26</f>
        <v>#REF!</v>
      </c>
    </row>
    <row r="195" spans="3:12" ht="20.25">
      <c r="C195" s="349"/>
      <c r="D195" s="337" t="s">
        <v>137</v>
      </c>
      <c r="E195" s="337" t="s">
        <v>138</v>
      </c>
      <c r="F195" s="337" t="s">
        <v>139</v>
      </c>
      <c r="G195" s="337" t="s">
        <v>140</v>
      </c>
      <c r="H195" s="337" t="s">
        <v>141</v>
      </c>
      <c r="I195" s="337" t="s">
        <v>142</v>
      </c>
      <c r="J195" s="337" t="s">
        <v>143</v>
      </c>
      <c r="K195" s="337" t="s">
        <v>144</v>
      </c>
      <c r="L195" s="337" t="s">
        <v>169</v>
      </c>
    </row>
    <row r="196" spans="3:12">
      <c r="C196" s="352" t="s">
        <v>184</v>
      </c>
      <c r="D196" s="264" t="e">
        <f>D191/1000</f>
        <v>#REF!</v>
      </c>
      <c r="E196" s="264" t="e">
        <f t="shared" ref="E196:K197" si="3">(D196+E191/1000)</f>
        <v>#REF!</v>
      </c>
      <c r="F196" s="264" t="e">
        <f t="shared" si="3"/>
        <v>#REF!</v>
      </c>
      <c r="G196" s="264" t="e">
        <f t="shared" si="3"/>
        <v>#REF!</v>
      </c>
      <c r="H196" s="264" t="e">
        <f t="shared" si="3"/>
        <v>#REF!</v>
      </c>
      <c r="I196" s="264" t="e">
        <f t="shared" si="3"/>
        <v>#REF!</v>
      </c>
      <c r="J196" s="264" t="e">
        <f t="shared" si="3"/>
        <v>#REF!</v>
      </c>
      <c r="K196" s="264" t="e">
        <f t="shared" si="3"/>
        <v>#REF!</v>
      </c>
      <c r="L196" s="264" t="e">
        <f>-#REF!/1000</f>
        <v>#REF!</v>
      </c>
    </row>
    <row r="197" spans="3:12">
      <c r="C197" s="352" t="s">
        <v>183</v>
      </c>
      <c r="D197" s="264">
        <f>D192/1000</f>
        <v>32.886606198902996</v>
      </c>
      <c r="E197" s="264">
        <f t="shared" si="3"/>
        <v>87.517779020492995</v>
      </c>
      <c r="F197" s="264">
        <f t="shared" si="3"/>
        <v>290.07421054987799</v>
      </c>
      <c r="G197" s="264">
        <f t="shared" si="3"/>
        <v>312.52391822330998</v>
      </c>
      <c r="H197" s="264">
        <f t="shared" si="3"/>
        <v>369.09901363432721</v>
      </c>
      <c r="I197" s="264">
        <f t="shared" si="3"/>
        <v>372.25550207303604</v>
      </c>
      <c r="J197" s="264">
        <f t="shared" si="3"/>
        <v>391.43426015504104</v>
      </c>
      <c r="K197" s="264">
        <f t="shared" si="3"/>
        <v>426.45006964263155</v>
      </c>
      <c r="L197" s="264" t="e">
        <f>-#REF!/1000</f>
        <v>#REF!</v>
      </c>
    </row>
    <row r="198" spans="3:12">
      <c r="C198" s="349"/>
      <c r="D198" s="264"/>
      <c r="E198" s="264"/>
      <c r="F198" s="264"/>
      <c r="G198" s="264"/>
      <c r="H198" s="264"/>
      <c r="I198" s="264"/>
      <c r="J198" s="264"/>
      <c r="K198" s="264"/>
    </row>
    <row r="208" spans="3:12">
      <c r="D208" s="334">
        <v>1395</v>
      </c>
      <c r="E208" s="341">
        <v>1396</v>
      </c>
      <c r="F208" s="334">
        <v>1397</v>
      </c>
    </row>
    <row r="209" spans="3:6">
      <c r="C209" s="341" t="s">
        <v>160</v>
      </c>
      <c r="D209" s="264" t="e">
        <f>-#REF!/#REF!*100</f>
        <v>#REF!</v>
      </c>
      <c r="E209" s="264" t="e">
        <f>-#REF!/#REF!*100</f>
        <v>#REF!</v>
      </c>
      <c r="F209" s="264" t="e">
        <f>-#REF!/#REF!*100</f>
        <v>#REF!</v>
      </c>
    </row>
    <row r="210" spans="3:6">
      <c r="C210" s="341" t="s">
        <v>161</v>
      </c>
      <c r="D210" s="264" t="e">
        <f>-#REF!/#REF!*100</f>
        <v>#REF!</v>
      </c>
      <c r="E210" s="264" t="e">
        <f>-#REF!/#REF!*100</f>
        <v>#REF!</v>
      </c>
      <c r="F210" s="264" t="e">
        <f>-#REF!/#REF!*100</f>
        <v>#REF!</v>
      </c>
    </row>
    <row r="227" spans="2:12">
      <c r="F227" s="334">
        <f>31*3</f>
        <v>93</v>
      </c>
      <c r="G227" s="350">
        <f>31*4</f>
        <v>124</v>
      </c>
      <c r="H227" s="350">
        <f>31*5</f>
        <v>155</v>
      </c>
      <c r="I227" s="350">
        <f>31*6</f>
        <v>186</v>
      </c>
      <c r="J227" s="334">
        <f>I227+(30*1)</f>
        <v>216</v>
      </c>
      <c r="K227" s="350">
        <f>J227+30</f>
        <v>246</v>
      </c>
      <c r="L227" s="350">
        <f>K227+30</f>
        <v>276</v>
      </c>
    </row>
    <row r="228" spans="2:12">
      <c r="C228" s="350" t="s">
        <v>170</v>
      </c>
      <c r="D228" s="350" t="s">
        <v>171</v>
      </c>
      <c r="E228" s="350" t="s">
        <v>172</v>
      </c>
      <c r="F228" s="350" t="s">
        <v>173</v>
      </c>
      <c r="G228" s="350" t="s">
        <v>174</v>
      </c>
      <c r="H228" s="350" t="s">
        <v>175</v>
      </c>
      <c r="I228" s="350" t="s">
        <v>176</v>
      </c>
      <c r="J228" s="350" t="s">
        <v>177</v>
      </c>
      <c r="K228" s="350" t="s">
        <v>178</v>
      </c>
      <c r="L228" s="350" t="s">
        <v>179</v>
      </c>
    </row>
    <row r="229" spans="2:12">
      <c r="B229" s="334" t="e">
        <f>#REF!</f>
        <v>#REF!</v>
      </c>
      <c r="C229" s="350" t="s">
        <v>180</v>
      </c>
      <c r="D229" s="264" t="e">
        <f>$B$229*31/365</f>
        <v>#REF!</v>
      </c>
      <c r="E229" s="264" t="e">
        <f>$B$229*62/365</f>
        <v>#REF!</v>
      </c>
      <c r="F229" s="264" t="e">
        <f>$B$229*93/365</f>
        <v>#REF!</v>
      </c>
      <c r="G229" s="264" t="e">
        <f>$B$229*124/365</f>
        <v>#REF!</v>
      </c>
      <c r="H229" s="264" t="e">
        <f>$B$229*155/365</f>
        <v>#REF!</v>
      </c>
      <c r="I229" s="264" t="e">
        <f>$B$229*186/365</f>
        <v>#REF!</v>
      </c>
      <c r="J229" s="264" t="e">
        <f>$B$229*216/365</f>
        <v>#REF!</v>
      </c>
      <c r="K229" s="264" t="e">
        <f>$B$229*246/365</f>
        <v>#REF!</v>
      </c>
      <c r="L229" s="264" t="e">
        <f>$B$229*276/365</f>
        <v>#REF!</v>
      </c>
    </row>
    <row r="230" spans="2:12">
      <c r="C230" s="350" t="s">
        <v>181</v>
      </c>
      <c r="D230" s="264" t="e">
        <f>#REF!</f>
        <v>#REF!</v>
      </c>
      <c r="E230" s="264" t="e">
        <f>#REF!</f>
        <v>#REF!</v>
      </c>
      <c r="F230" s="264" t="e">
        <f>#REF!</f>
        <v>#REF!</v>
      </c>
      <c r="G230" s="264" t="e">
        <f>#REF!</f>
        <v>#REF!</v>
      </c>
      <c r="H230" s="264" t="e">
        <f>#REF!</f>
        <v>#REF!</v>
      </c>
      <c r="I230" s="264" t="e">
        <f>#REF!</f>
        <v>#REF!</v>
      </c>
      <c r="J230" s="264" t="e">
        <f>#REF!</f>
        <v>#REF!</v>
      </c>
      <c r="K230" s="264" t="e">
        <f>#REF!</f>
        <v>#REF!</v>
      </c>
      <c r="L230" s="264" t="e">
        <f>#REF!</f>
        <v>#REF!</v>
      </c>
    </row>
    <row r="234" spans="2:12">
      <c r="E234" s="341"/>
      <c r="F234" s="341"/>
      <c r="G234" s="341"/>
      <c r="H234" s="341"/>
      <c r="I234" s="341"/>
      <c r="J234" s="341"/>
      <c r="K234" s="341"/>
    </row>
    <row r="249" spans="3:5">
      <c r="E249" s="334" t="e">
        <f>#REF!</f>
        <v>#REF!</v>
      </c>
    </row>
    <row r="250" spans="3:5">
      <c r="C250" s="354" t="s">
        <v>190</v>
      </c>
      <c r="D250" s="264" t="e">
        <f>E250/$E$249*100</f>
        <v>#REF!</v>
      </c>
      <c r="E250" s="334" t="e">
        <f>#REF!</f>
        <v>#REF!</v>
      </c>
    </row>
    <row r="251" spans="3:5">
      <c r="C251" s="334" t="e">
        <f>#REF!</f>
        <v>#REF!</v>
      </c>
      <c r="D251" s="264" t="e">
        <f>E251/$E$249*100</f>
        <v>#REF!</v>
      </c>
      <c r="E251" s="334" t="e">
        <f>#REF!</f>
        <v>#REF!</v>
      </c>
    </row>
    <row r="252" spans="3:5">
      <c r="C252" s="354" t="e">
        <f>#REF!</f>
        <v>#REF!</v>
      </c>
      <c r="D252" s="264" t="e">
        <f>E252/$E$249*100</f>
        <v>#REF!</v>
      </c>
      <c r="E252" s="334" t="e">
        <f>#REF!</f>
        <v>#REF!</v>
      </c>
    </row>
    <row r="253" spans="3:5">
      <c r="C253" s="357" t="e">
        <f>#REF!</f>
        <v>#REF!</v>
      </c>
      <c r="D253" s="264" t="e">
        <f>E253/$E$249*100</f>
        <v>#REF!</v>
      </c>
      <c r="E253" s="357" t="e">
        <f>#REF!</f>
        <v>#REF!</v>
      </c>
    </row>
    <row r="254" spans="3:5">
      <c r="C254" s="357" t="s">
        <v>155</v>
      </c>
      <c r="D254" s="264" t="e">
        <f>E254/$E$249*100</f>
        <v>#REF!</v>
      </c>
      <c r="E254" s="334" t="e">
        <f>E249-E250-E251-E252-E253</f>
        <v>#REF!</v>
      </c>
    </row>
    <row r="263" spans="5:18">
      <c r="E263" s="334">
        <v>1</v>
      </c>
      <c r="F263" s="334">
        <v>2</v>
      </c>
      <c r="G263" s="334">
        <v>3</v>
      </c>
      <c r="H263" s="355">
        <v>4</v>
      </c>
      <c r="I263" s="355">
        <v>5</v>
      </c>
      <c r="J263" s="355">
        <v>6</v>
      </c>
      <c r="K263" s="355">
        <v>7</v>
      </c>
      <c r="L263" s="355">
        <v>8</v>
      </c>
      <c r="M263" s="355">
        <v>9</v>
      </c>
      <c r="N263" s="355">
        <v>10</v>
      </c>
      <c r="O263" s="355">
        <v>11</v>
      </c>
      <c r="P263" s="355">
        <v>12</v>
      </c>
    </row>
    <row r="264" spans="5:18">
      <c r="E264" s="334">
        <f>'[6]وضع مالی ج2'!$L$26</f>
        <v>42945.057433210997</v>
      </c>
      <c r="F264" s="334">
        <f>'[7]وضع مالی ج2'!$L$26</f>
        <v>134319.53958318499</v>
      </c>
      <c r="G264" s="334">
        <f>'[8]وضع مالی ج2'!$L$26</f>
        <v>165281.72218025601</v>
      </c>
      <c r="H264" s="334">
        <f>'[9]وضع مالی ج2'!$L$26</f>
        <v>196288.55054976404</v>
      </c>
      <c r="I264" s="334" t="e">
        <f>#REF!</f>
        <v>#REF!</v>
      </c>
    </row>
    <row r="265" spans="5:18">
      <c r="E265" s="334">
        <f>E264</f>
        <v>42945.057433210997</v>
      </c>
      <c r="F265" s="334">
        <f>F264-E264</f>
        <v>91374.482149973992</v>
      </c>
      <c r="G265" s="355">
        <f>G264-F264</f>
        <v>30962.18259707102</v>
      </c>
      <c r="H265" s="355">
        <f>H264-G264</f>
        <v>31006.828369508032</v>
      </c>
      <c r="I265" s="334" t="e">
        <f>I264-H264</f>
        <v>#REF!</v>
      </c>
      <c r="J265" s="355" t="e">
        <f t="shared" ref="J265:P265" si="4">I265</f>
        <v>#REF!</v>
      </c>
      <c r="K265" s="355" t="e">
        <f t="shared" si="4"/>
        <v>#REF!</v>
      </c>
      <c r="L265" s="355" t="e">
        <f t="shared" si="4"/>
        <v>#REF!</v>
      </c>
      <c r="M265" s="355" t="e">
        <f t="shared" si="4"/>
        <v>#REF!</v>
      </c>
      <c r="N265" s="355" t="e">
        <f t="shared" si="4"/>
        <v>#REF!</v>
      </c>
      <c r="O265" s="355" t="e">
        <f t="shared" si="4"/>
        <v>#REF!</v>
      </c>
      <c r="P265" s="355" t="e">
        <f t="shared" si="4"/>
        <v>#REF!</v>
      </c>
      <c r="Q265" s="358" t="e">
        <f>SUM(E265:P265)</f>
        <v>#REF!</v>
      </c>
    </row>
    <row r="266" spans="5:18">
      <c r="Q266" s="334" t="e">
        <f>#REF!</f>
        <v>#REF!</v>
      </c>
      <c r="R266" s="334" t="e">
        <f>Q265/Q266*100</f>
        <v>#REF!</v>
      </c>
    </row>
    <row r="267" spans="5:18">
      <c r="P267" s="343" t="e">
        <f>SUM(E265:P265)</f>
        <v>#REF!</v>
      </c>
      <c r="R267" s="334" t="e">
        <f>Q266-Q265</f>
        <v>#REF!</v>
      </c>
    </row>
    <row r="268" spans="5:18">
      <c r="P268" s="334" t="e">
        <f>P267+45000</f>
        <v>#REF!</v>
      </c>
    </row>
    <row r="271" spans="5:18">
      <c r="P271" s="334">
        <v>100</v>
      </c>
    </row>
    <row r="272" spans="5:18">
      <c r="P272" s="334">
        <v>620</v>
      </c>
    </row>
    <row r="273" spans="3:16">
      <c r="P273" s="334">
        <v>45</v>
      </c>
    </row>
    <row r="275" spans="3:16">
      <c r="D275" s="334" t="e">
        <f>#REF!</f>
        <v>#REF!</v>
      </c>
    </row>
    <row r="276" spans="3:16">
      <c r="C276" s="334" t="e">
        <f>#REF!</f>
        <v>#REF!</v>
      </c>
      <c r="D276" s="334" t="e">
        <f>#REF!</f>
        <v>#REF!</v>
      </c>
      <c r="E276" s="264" t="e">
        <f t="shared" ref="E276:E281" si="5">D276/$D$275*100</f>
        <v>#REF!</v>
      </c>
    </row>
    <row r="277" spans="3:16">
      <c r="C277" s="356" t="s">
        <v>191</v>
      </c>
      <c r="D277" s="334" t="e">
        <f>#REF!</f>
        <v>#REF!</v>
      </c>
      <c r="E277" s="264" t="e">
        <f t="shared" si="5"/>
        <v>#REF!</v>
      </c>
    </row>
    <row r="278" spans="3:16">
      <c r="C278" s="334" t="e">
        <f>#REF!</f>
        <v>#REF!</v>
      </c>
      <c r="D278" s="334" t="e">
        <f>#REF!</f>
        <v>#REF!</v>
      </c>
      <c r="E278" s="264" t="e">
        <f t="shared" si="5"/>
        <v>#REF!</v>
      </c>
    </row>
    <row r="279" spans="3:16">
      <c r="C279" s="334" t="e">
        <f>#REF!</f>
        <v>#REF!</v>
      </c>
      <c r="D279" s="334" t="e">
        <f>#REF!</f>
        <v>#REF!</v>
      </c>
      <c r="E279" s="264" t="e">
        <f t="shared" si="5"/>
        <v>#REF!</v>
      </c>
    </row>
    <row r="280" spans="3:16">
      <c r="C280" s="334" t="e">
        <f>#REF!</f>
        <v>#REF!</v>
      </c>
      <c r="D280" s="334" t="e">
        <f>#REF!</f>
        <v>#REF!</v>
      </c>
      <c r="E280" s="264" t="e">
        <f t="shared" si="5"/>
        <v>#REF!</v>
      </c>
    </row>
    <row r="281" spans="3:16">
      <c r="C281" s="356" t="s">
        <v>155</v>
      </c>
      <c r="D281" s="334" t="e">
        <f>D275-SUM(D276:D280)</f>
        <v>#REF!</v>
      </c>
      <c r="E281" s="264" t="e">
        <f t="shared" si="5"/>
        <v>#REF!</v>
      </c>
    </row>
    <row r="288" spans="3:16">
      <c r="C288" s="334" t="e">
        <f>#REF!</f>
        <v>#REF!</v>
      </c>
      <c r="D288" s="334" t="e">
        <f>#REF!</f>
        <v>#REF!</v>
      </c>
      <c r="E288" s="264" t="e">
        <f>D288/$D$275*100</f>
        <v>#REF!</v>
      </c>
    </row>
    <row r="289" spans="3:5">
      <c r="C289" s="334" t="e">
        <f>#REF!</f>
        <v>#REF!</v>
      </c>
      <c r="D289" s="334" t="e">
        <f>#REF!</f>
        <v>#REF!</v>
      </c>
      <c r="E289" s="264" t="e">
        <f>D289/$D$275*100</f>
        <v>#REF!</v>
      </c>
    </row>
    <row r="290" spans="3:5">
      <c r="C290" s="334" t="e">
        <f>#REF!</f>
        <v>#REF!</v>
      </c>
      <c r="D290" s="334" t="e">
        <f>#REF!</f>
        <v>#REF!</v>
      </c>
      <c r="E290" s="264" t="e">
        <f>D290/$D$275*100</f>
        <v>#REF!</v>
      </c>
    </row>
    <row r="291" spans="3:5">
      <c r="C291" s="357" t="s">
        <v>186</v>
      </c>
      <c r="D291" s="334" t="e">
        <f>#REF!+#REF!+#REF!+#REF!</f>
        <v>#REF!</v>
      </c>
      <c r="E291" s="264" t="e">
        <f>D291/$D$275*100</f>
        <v>#REF!</v>
      </c>
    </row>
    <row r="303" spans="3:5">
      <c r="C303" s="359" t="s">
        <v>192</v>
      </c>
      <c r="D303" s="264">
        <v>34.504722842296978</v>
      </c>
    </row>
    <row r="304" spans="3:5">
      <c r="C304" s="359" t="s">
        <v>193</v>
      </c>
      <c r="D304" s="264" t="e">
        <f>#REF!</f>
        <v>#REF!</v>
      </c>
    </row>
    <row r="305" spans="3:4">
      <c r="C305" s="359" t="s">
        <v>194</v>
      </c>
      <c r="D305" s="264" t="e">
        <f>#REF!</f>
        <v>#REF!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8"/>
      <c r="C1" s="138"/>
      <c r="D1" s="138"/>
      <c r="E1" s="138"/>
      <c r="F1" s="138"/>
      <c r="G1" s="138"/>
      <c r="H1" s="138"/>
      <c r="I1" s="138"/>
      <c r="J1" s="138"/>
    </row>
    <row r="2" spans="1:27">
      <c r="B2" s="138"/>
      <c r="C2" s="138"/>
      <c r="D2" s="138"/>
      <c r="E2" s="138"/>
      <c r="F2" s="138"/>
      <c r="G2" s="138"/>
      <c r="H2" s="138"/>
      <c r="I2" s="138"/>
      <c r="J2" s="138"/>
    </row>
    <row r="4" spans="1:27" ht="22.5">
      <c r="AA4" s="139"/>
    </row>
    <row r="6" spans="1:27" ht="30" customHeight="1">
      <c r="B6" s="443" t="s">
        <v>118</v>
      </c>
      <c r="C6" s="443"/>
      <c r="D6" s="443"/>
      <c r="E6" s="443"/>
      <c r="F6" s="443"/>
      <c r="G6" s="443"/>
      <c r="H6" s="443"/>
      <c r="I6" s="443"/>
      <c r="J6" s="443"/>
      <c r="O6" s="140"/>
      <c r="P6" s="140"/>
      <c r="Q6" s="140"/>
      <c r="R6" s="141"/>
      <c r="S6" s="140"/>
      <c r="T6" s="140"/>
      <c r="U6" s="140"/>
      <c r="V6" s="140"/>
      <c r="W6" s="140"/>
      <c r="X6" s="142"/>
      <c r="Y6" s="140"/>
      <c r="Z6" s="140"/>
    </row>
    <row r="7" spans="1:27" ht="24" customHeight="1" thickBot="1">
      <c r="B7" s="143"/>
      <c r="C7" s="143"/>
      <c r="D7" s="143"/>
      <c r="E7" s="143"/>
      <c r="F7" s="143"/>
      <c r="G7" s="143"/>
      <c r="H7" s="143"/>
      <c r="I7" s="144"/>
      <c r="N7" s="444" t="s">
        <v>2</v>
      </c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</row>
    <row r="8" spans="1:27" ht="33.75" customHeight="1">
      <c r="B8" s="445" t="s">
        <v>65</v>
      </c>
      <c r="C8" s="448" t="s">
        <v>108</v>
      </c>
      <c r="D8" s="449"/>
      <c r="E8" s="449"/>
      <c r="F8" s="449"/>
      <c r="G8" s="449"/>
      <c r="H8" s="450"/>
      <c r="I8" s="451" t="s">
        <v>99</v>
      </c>
      <c r="J8" s="452"/>
    </row>
    <row r="9" spans="1:27" ht="21">
      <c r="B9" s="446"/>
      <c r="C9" s="453" t="s">
        <v>97</v>
      </c>
      <c r="D9" s="454"/>
      <c r="E9" s="455"/>
      <c r="F9" s="454" t="s">
        <v>67</v>
      </c>
      <c r="G9" s="454"/>
      <c r="H9" s="456"/>
      <c r="I9" s="457" t="s">
        <v>98</v>
      </c>
      <c r="J9" s="458"/>
    </row>
    <row r="10" spans="1:27" ht="21">
      <c r="B10" s="447"/>
      <c r="C10" s="145" t="s">
        <v>94</v>
      </c>
      <c r="D10" s="146" t="s">
        <v>95</v>
      </c>
      <c r="E10" s="147" t="s">
        <v>96</v>
      </c>
      <c r="F10" s="169" t="s">
        <v>94</v>
      </c>
      <c r="G10" s="169" t="s">
        <v>95</v>
      </c>
      <c r="H10" s="170" t="s">
        <v>96</v>
      </c>
      <c r="I10" s="171" t="s">
        <v>66</v>
      </c>
      <c r="J10" s="172" t="s">
        <v>67</v>
      </c>
      <c r="L10" s="148"/>
    </row>
    <row r="11" spans="1:27" s="19" customFormat="1" ht="33.75" customHeight="1">
      <c r="B11" s="165" t="s">
        <v>114</v>
      </c>
      <c r="C11" s="166">
        <v>1000</v>
      </c>
      <c r="D11" s="135">
        <v>297</v>
      </c>
      <c r="E11" s="185">
        <f>C11+D11</f>
        <v>1297</v>
      </c>
      <c r="F11" s="135">
        <v>1000</v>
      </c>
      <c r="G11" s="135">
        <v>297</v>
      </c>
      <c r="H11" s="167">
        <f>F11+G11</f>
        <v>1297</v>
      </c>
      <c r="I11" s="184">
        <v>100</v>
      </c>
      <c r="J11" s="168">
        <v>100</v>
      </c>
    </row>
    <row r="12" spans="1:27" ht="27.75" customHeight="1">
      <c r="B12" s="5" t="s">
        <v>5</v>
      </c>
      <c r="C12" s="183">
        <v>1085</v>
      </c>
      <c r="D12" s="131">
        <v>253.81</v>
      </c>
      <c r="E12" s="133">
        <f>C12+D12</f>
        <v>1338.81</v>
      </c>
      <c r="F12" s="131">
        <f>C12</f>
        <v>1085</v>
      </c>
      <c r="G12" s="131">
        <f>D12</f>
        <v>253.81</v>
      </c>
      <c r="H12" s="182">
        <f>G12+F12</f>
        <v>1338.81</v>
      </c>
      <c r="I12" s="221">
        <v>55.42</v>
      </c>
      <c r="J12" s="182">
        <f>I12</f>
        <v>55.42</v>
      </c>
    </row>
    <row r="13" spans="1:27" ht="27.75" customHeight="1">
      <c r="B13" s="5" t="s">
        <v>6</v>
      </c>
      <c r="C13" s="183">
        <v>1361.2</v>
      </c>
      <c r="D13" s="131">
        <v>258.07</v>
      </c>
      <c r="E13" s="133">
        <f>C13+D13</f>
        <v>1619.27</v>
      </c>
      <c r="F13" s="201">
        <f>(C12*31+C13*31)/62</f>
        <v>1223.1000000000001</v>
      </c>
      <c r="G13" s="131">
        <f>(D12*31+D13*31)/62</f>
        <v>255.93999999999997</v>
      </c>
      <c r="H13" s="182">
        <f>G13+F13</f>
        <v>1479.0400000000002</v>
      </c>
      <c r="I13" s="221">
        <v>59.51</v>
      </c>
      <c r="J13" s="202">
        <f>(I12*31+I13*31)/62</f>
        <v>57.464999999999996</v>
      </c>
    </row>
    <row r="14" spans="1:27" ht="27.75" customHeight="1">
      <c r="A14" s="20"/>
      <c r="B14" s="219" t="s">
        <v>7</v>
      </c>
      <c r="C14" s="131">
        <v>1062.53</v>
      </c>
      <c r="D14" s="131">
        <v>181.27</v>
      </c>
      <c r="E14" s="133">
        <f>C14+D14</f>
        <v>1243.8</v>
      </c>
      <c r="F14" s="201">
        <f>(C12*31+C13*31+C14*31)/93</f>
        <v>1169.5766666666668</v>
      </c>
      <c r="G14" s="131">
        <f>(D12*31+D13*31+D14*31)/93</f>
        <v>231.04999999999998</v>
      </c>
      <c r="H14" s="182">
        <f>G14+F14</f>
        <v>1400.6266666666668</v>
      </c>
      <c r="I14" s="183">
        <v>60.65</v>
      </c>
      <c r="J14" s="202">
        <f>(I12*31+I13*31+I14*31)/93</f>
        <v>58.526666666666664</v>
      </c>
      <c r="K14" s="150"/>
    </row>
    <row r="15" spans="1:27" ht="27.75" customHeight="1" thickBot="1">
      <c r="A15" s="20"/>
      <c r="B15" s="21" t="s">
        <v>8</v>
      </c>
      <c r="C15" s="204">
        <v>939.73</v>
      </c>
      <c r="D15" s="136">
        <v>167.41</v>
      </c>
      <c r="E15" s="203">
        <f>C15+D15</f>
        <v>1107.1400000000001</v>
      </c>
      <c r="F15" s="136">
        <f>(C12*31+C13*31+C14*31+C15*31)/124</f>
        <v>1112.115</v>
      </c>
      <c r="G15" s="136">
        <f>(D12*31+D13*31+D14*31+D15*31)/124</f>
        <v>215.14</v>
      </c>
      <c r="H15" s="149">
        <f>G15+F15</f>
        <v>1327.2550000000001</v>
      </c>
      <c r="I15" s="222">
        <v>56.82</v>
      </c>
      <c r="J15" s="186">
        <f>(I12*31+I13*31+I14*31+I15*31)/124+0.12</f>
        <v>58.219999999999992</v>
      </c>
      <c r="K15" s="150"/>
    </row>
    <row r="16" spans="1:27" ht="21.75" customHeight="1">
      <c r="A16" s="20"/>
      <c r="B16" s="7"/>
      <c r="C16" s="131"/>
      <c r="D16" s="131"/>
      <c r="E16" s="131"/>
      <c r="F16" s="81"/>
      <c r="G16" s="131"/>
      <c r="H16" s="131"/>
      <c r="I16" s="131"/>
      <c r="J16" s="220"/>
      <c r="K16" s="150"/>
    </row>
    <row r="17" spans="1:26" ht="24.95" customHeight="1">
      <c r="A17" s="20"/>
      <c r="B17" s="4"/>
      <c r="C17" s="459"/>
      <c r="D17" s="459"/>
      <c r="E17" s="130"/>
      <c r="F17" s="130"/>
      <c r="G17" s="137"/>
      <c r="H17" s="460" t="s">
        <v>51</v>
      </c>
      <c r="I17" s="461"/>
      <c r="J17" s="462"/>
      <c r="L17" s="148"/>
    </row>
    <row r="18" spans="1:26" ht="24.95" customHeight="1">
      <c r="A18" s="20"/>
      <c r="B18" s="4"/>
      <c r="C18" s="459"/>
      <c r="D18" s="459"/>
      <c r="E18" s="127"/>
      <c r="F18" s="127"/>
      <c r="G18" s="127"/>
      <c r="H18" s="463" t="s">
        <v>52</v>
      </c>
      <c r="I18" s="459"/>
      <c r="J18" s="464"/>
      <c r="L18" s="148"/>
    </row>
    <row r="19" spans="1:26" ht="24.95" customHeight="1">
      <c r="A19" s="20"/>
      <c r="B19" s="4"/>
      <c r="C19" s="465"/>
      <c r="D19" s="465"/>
      <c r="E19" s="4"/>
      <c r="F19" s="4"/>
      <c r="G19" s="4"/>
      <c r="H19" s="466" t="s">
        <v>117</v>
      </c>
      <c r="I19" s="467"/>
      <c r="J19" s="468"/>
      <c r="K19" s="20"/>
      <c r="L19" s="148"/>
    </row>
    <row r="20" spans="1:26" ht="24.95" customHeight="1">
      <c r="A20" s="20"/>
      <c r="B20" s="123"/>
      <c r="C20" s="151"/>
      <c r="D20" s="151"/>
      <c r="E20" s="151"/>
      <c r="F20" s="123"/>
      <c r="G20" s="123"/>
      <c r="H20" s="123"/>
      <c r="I20" s="118"/>
      <c r="J20" s="152"/>
      <c r="K20" s="20"/>
    </row>
    <row r="21" spans="1:26" ht="24.95" customHeight="1">
      <c r="A21" s="20"/>
      <c r="B21" s="153"/>
      <c r="C21" s="153"/>
      <c r="D21" s="153"/>
      <c r="E21" s="153"/>
      <c r="F21" s="153"/>
      <c r="G21" s="153"/>
      <c r="H21" s="153"/>
      <c r="I21" s="153"/>
      <c r="J21" s="153"/>
    </row>
    <row r="22" spans="1:26" ht="24.95" customHeight="1">
      <c r="A22" s="20"/>
      <c r="B22" s="154"/>
      <c r="C22" s="154"/>
      <c r="D22" s="154"/>
      <c r="E22" s="154"/>
      <c r="F22" s="154"/>
      <c r="G22" s="154"/>
      <c r="H22" s="154"/>
      <c r="I22" s="155"/>
      <c r="J22" s="156"/>
    </row>
    <row r="23" spans="1:26" ht="24.95" customHeight="1">
      <c r="B23" s="471"/>
      <c r="C23" s="471"/>
      <c r="D23" s="471"/>
      <c r="E23" s="471"/>
      <c r="F23" s="471"/>
      <c r="G23" s="471"/>
      <c r="H23" s="471"/>
      <c r="I23" s="474"/>
      <c r="J23" s="474"/>
    </row>
    <row r="24" spans="1:26" ht="24.95" customHeight="1">
      <c r="B24" s="471"/>
      <c r="C24" s="471"/>
      <c r="D24" s="471"/>
      <c r="E24" s="471"/>
      <c r="F24" s="471"/>
      <c r="G24" s="471"/>
      <c r="H24" s="471"/>
      <c r="I24" s="474"/>
      <c r="J24" s="47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</row>
    <row r="25" spans="1:26" ht="24.95" customHeight="1">
      <c r="B25" s="471"/>
      <c r="C25" s="157"/>
      <c r="D25" s="157"/>
      <c r="E25" s="157"/>
      <c r="F25" s="157"/>
      <c r="G25" s="157"/>
      <c r="H25" s="157"/>
      <c r="I25" s="158"/>
      <c r="J25" s="159"/>
      <c r="M25" s="160"/>
    </row>
    <row r="26" spans="1:26" ht="31.5" customHeight="1">
      <c r="B26" s="173"/>
      <c r="C26" s="173"/>
      <c r="D26" s="173"/>
      <c r="E26" s="173"/>
      <c r="F26" s="173"/>
      <c r="G26" s="173"/>
      <c r="H26" s="173"/>
      <c r="I26" s="173"/>
      <c r="J26" s="173"/>
      <c r="M26" s="160"/>
    </row>
    <row r="27" spans="1:26" ht="26.25" customHeight="1">
      <c r="B27" s="174"/>
      <c r="C27" s="174"/>
      <c r="D27" s="174"/>
      <c r="E27" s="174"/>
      <c r="F27" s="174"/>
      <c r="G27" s="174"/>
      <c r="H27" s="174"/>
      <c r="I27" s="132"/>
      <c r="J27" s="164"/>
      <c r="M27" s="160"/>
    </row>
    <row r="28" spans="1:26" ht="26.25" customHeight="1">
      <c r="B28" s="472"/>
      <c r="C28" s="472"/>
      <c r="D28" s="472"/>
      <c r="E28" s="472"/>
      <c r="F28" s="472"/>
      <c r="G28" s="473"/>
      <c r="H28" s="473"/>
      <c r="I28" s="175"/>
      <c r="J28" s="6"/>
    </row>
    <row r="29" spans="1:26" ht="26.25" customHeight="1">
      <c r="B29" s="472"/>
      <c r="C29" s="472"/>
      <c r="D29" s="472"/>
      <c r="E29" s="472"/>
      <c r="F29" s="473"/>
      <c r="G29" s="473"/>
      <c r="H29" s="473"/>
      <c r="I29" s="175"/>
      <c r="J29" s="6"/>
      <c r="Z29" s="139"/>
    </row>
    <row r="30" spans="1:26" ht="39.75" customHeight="1">
      <c r="B30" s="472"/>
      <c r="C30" s="122"/>
      <c r="D30" s="122"/>
      <c r="E30" s="122"/>
      <c r="F30" s="122"/>
      <c r="G30" s="122"/>
      <c r="H30" s="122"/>
      <c r="I30" s="175"/>
      <c r="J30" s="6"/>
    </row>
    <row r="31" spans="1:26" ht="26.25" customHeight="1">
      <c r="B31" s="4"/>
      <c r="C31" s="131"/>
      <c r="D31" s="131"/>
      <c r="E31" s="131"/>
      <c r="F31" s="131"/>
      <c r="G31" s="131"/>
      <c r="H31" s="131"/>
      <c r="I31" s="131"/>
      <c r="J31" s="6"/>
    </row>
    <row r="32" spans="1:26" ht="26.25" customHeight="1">
      <c r="B32" s="4"/>
      <c r="C32" s="131"/>
      <c r="D32" s="131"/>
      <c r="E32" s="131"/>
      <c r="F32" s="131"/>
      <c r="G32" s="131"/>
      <c r="H32" s="131"/>
      <c r="I32" s="131"/>
      <c r="J32" s="6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</row>
    <row r="33" spans="1:11" ht="26.25" customHeight="1">
      <c r="B33" s="4"/>
      <c r="C33" s="131"/>
      <c r="D33" s="131"/>
      <c r="E33" s="131"/>
      <c r="F33" s="131"/>
      <c r="G33" s="131"/>
      <c r="H33" s="131"/>
      <c r="I33" s="131"/>
      <c r="J33" s="6"/>
    </row>
    <row r="34" spans="1:11" ht="26.25" customHeight="1">
      <c r="B34" s="4"/>
      <c r="C34" s="131"/>
      <c r="D34" s="131"/>
      <c r="E34" s="131"/>
      <c r="F34" s="131"/>
      <c r="G34" s="131"/>
      <c r="H34" s="131"/>
      <c r="I34" s="131"/>
      <c r="J34" s="125"/>
      <c r="K34" s="125"/>
    </row>
    <row r="35" spans="1:11" ht="26.25" customHeight="1">
      <c r="B35" s="4"/>
      <c r="C35" s="131"/>
      <c r="D35" s="131"/>
      <c r="E35" s="131"/>
      <c r="F35" s="131"/>
      <c r="G35" s="131"/>
      <c r="H35" s="131"/>
      <c r="I35" s="131"/>
      <c r="J35" s="125"/>
      <c r="K35" s="125"/>
    </row>
    <row r="36" spans="1:11" ht="26.25" customHeight="1">
      <c r="B36" s="4"/>
      <c r="C36" s="131"/>
      <c r="D36" s="131"/>
      <c r="E36" s="131"/>
      <c r="F36" s="131"/>
      <c r="G36" s="131"/>
      <c r="H36" s="131"/>
      <c r="I36" s="131"/>
      <c r="J36" s="125"/>
      <c r="K36" s="125"/>
    </row>
    <row r="37" spans="1:11" ht="26.25" customHeight="1">
      <c r="A37" s="2"/>
      <c r="B37" s="123"/>
      <c r="C37" s="134"/>
      <c r="D37" s="134"/>
      <c r="E37" s="134"/>
      <c r="F37" s="134"/>
      <c r="G37" s="134"/>
      <c r="H37" s="134"/>
      <c r="I37" s="134"/>
      <c r="J37" s="6"/>
    </row>
    <row r="38" spans="1:11" ht="26.25" customHeight="1">
      <c r="A38" s="2"/>
      <c r="B38" s="123"/>
      <c r="C38" s="134"/>
      <c r="D38" s="134"/>
      <c r="E38" s="134"/>
      <c r="F38" s="134"/>
      <c r="G38" s="134"/>
      <c r="H38" s="134"/>
      <c r="I38" s="134"/>
      <c r="J38" s="6"/>
    </row>
    <row r="39" spans="1:11" ht="26.25" customHeight="1">
      <c r="A39" s="2"/>
      <c r="B39" s="123"/>
      <c r="C39" s="134"/>
      <c r="D39" s="134"/>
      <c r="E39" s="134"/>
      <c r="F39" s="134"/>
      <c r="G39" s="134"/>
      <c r="H39" s="134"/>
      <c r="I39" s="134"/>
      <c r="J39" s="6"/>
    </row>
    <row r="40" spans="1:11" ht="26.25" customHeight="1">
      <c r="A40" s="2"/>
      <c r="B40" s="123"/>
      <c r="C40" s="134"/>
      <c r="D40" s="134"/>
      <c r="E40" s="134"/>
      <c r="F40" s="134"/>
      <c r="G40" s="134"/>
      <c r="H40" s="134"/>
      <c r="I40" s="134"/>
      <c r="J40" s="6"/>
    </row>
    <row r="41" spans="1:11" ht="26.25" customHeight="1">
      <c r="A41" s="2"/>
      <c r="B41" s="123"/>
      <c r="C41" s="134"/>
      <c r="D41" s="134"/>
      <c r="E41" s="134"/>
      <c r="F41" s="134"/>
      <c r="G41" s="134"/>
      <c r="H41" s="134"/>
      <c r="I41" s="134"/>
      <c r="J41" s="6"/>
    </row>
    <row r="42" spans="1:11" ht="32.25" customHeight="1">
      <c r="A42" s="2"/>
      <c r="B42" s="176"/>
      <c r="C42" s="134"/>
      <c r="D42" s="134"/>
      <c r="E42" s="134"/>
      <c r="F42" s="134"/>
      <c r="G42" s="134"/>
      <c r="H42" s="134"/>
      <c r="I42" s="134"/>
      <c r="J42" s="6"/>
    </row>
    <row r="43" spans="1:11" ht="26.25" customHeight="1">
      <c r="A43" s="2"/>
      <c r="B43" s="123"/>
      <c r="C43" s="469"/>
      <c r="D43" s="469"/>
      <c r="E43" s="118"/>
      <c r="F43" s="118"/>
      <c r="G43" s="177"/>
      <c r="H43" s="178"/>
      <c r="I43" s="178"/>
      <c r="J43" s="162"/>
    </row>
    <row r="44" spans="1:11" ht="26.25" customHeight="1">
      <c r="A44" s="2"/>
      <c r="B44" s="123"/>
      <c r="C44" s="469"/>
      <c r="D44" s="469"/>
      <c r="E44" s="179"/>
      <c r="F44" s="179"/>
      <c r="G44" s="469"/>
      <c r="H44" s="469"/>
      <c r="I44" s="469"/>
      <c r="J44" s="162"/>
    </row>
    <row r="45" spans="1:11" ht="26.25" customHeight="1">
      <c r="A45" s="2"/>
      <c r="B45" s="123"/>
      <c r="C45" s="470"/>
      <c r="D45" s="470"/>
      <c r="E45" s="123"/>
      <c r="F45" s="123"/>
      <c r="G45" s="469"/>
      <c r="H45" s="469"/>
      <c r="I45" s="469"/>
      <c r="J45" s="163"/>
    </row>
    <row r="46" spans="1:11" ht="26.25" customHeight="1">
      <c r="A46" s="2"/>
      <c r="B46" s="14"/>
      <c r="C46" s="14"/>
      <c r="D46" s="14"/>
      <c r="E46" s="14"/>
      <c r="F46" s="14"/>
      <c r="G46" s="470"/>
      <c r="H46" s="470"/>
      <c r="I46" s="470"/>
      <c r="J46" s="164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80"/>
      <c r="J47" s="164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1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1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1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1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1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1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1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1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1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1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1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1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1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1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1"/>
    </row>
    <row r="63" spans="1:9">
      <c r="A63" s="2"/>
      <c r="B63" s="2"/>
      <c r="C63" s="2"/>
      <c r="D63" s="2"/>
      <c r="E63" s="2"/>
      <c r="F63" s="2"/>
      <c r="G63" s="2"/>
      <c r="H63" s="2"/>
      <c r="I63" s="181"/>
    </row>
    <row r="64" spans="1:9">
      <c r="A64" s="2"/>
      <c r="B64" s="2"/>
      <c r="C64" s="2"/>
      <c r="D64" s="2"/>
      <c r="E64" s="2"/>
      <c r="F64" s="2"/>
      <c r="G64" s="2"/>
      <c r="H64" s="2"/>
      <c r="I64" s="181"/>
    </row>
    <row r="65" spans="1:9">
      <c r="A65" s="2"/>
      <c r="B65" s="2"/>
      <c r="C65" s="2"/>
      <c r="D65" s="2"/>
      <c r="E65" s="2"/>
      <c r="F65" s="2"/>
      <c r="G65" s="2"/>
      <c r="H65" s="2"/>
      <c r="I65" s="181"/>
    </row>
    <row r="66" spans="1:9">
      <c r="A66" s="2"/>
      <c r="B66" s="2"/>
      <c r="C66" s="2"/>
      <c r="D66" s="2"/>
      <c r="E66" s="2"/>
      <c r="F66" s="2"/>
      <c r="G66" s="2"/>
      <c r="H66" s="2"/>
      <c r="I66" s="181"/>
    </row>
    <row r="67" spans="1:9">
      <c r="A67" s="2"/>
      <c r="B67" s="2"/>
      <c r="C67" s="2"/>
      <c r="D67" s="2"/>
      <c r="E67" s="2"/>
      <c r="F67" s="2"/>
      <c r="G67" s="2"/>
      <c r="H67" s="2"/>
      <c r="I67" s="181"/>
    </row>
    <row r="68" spans="1:9">
      <c r="A68" s="2"/>
      <c r="B68" s="2"/>
      <c r="C68" s="2"/>
      <c r="D68" s="2"/>
      <c r="E68" s="2"/>
      <c r="F68" s="2"/>
      <c r="G68" s="2"/>
      <c r="H68" s="2"/>
      <c r="I68" s="181"/>
    </row>
    <row r="69" spans="1:9">
      <c r="A69" s="2"/>
      <c r="B69" s="2"/>
      <c r="C69" s="2"/>
      <c r="D69" s="2"/>
      <c r="E69" s="2"/>
      <c r="F69" s="2"/>
      <c r="G69" s="2"/>
      <c r="H69" s="2"/>
      <c r="I69" s="181"/>
    </row>
    <row r="70" spans="1:9">
      <c r="A70" s="2"/>
      <c r="B70" s="2"/>
      <c r="C70" s="2"/>
      <c r="D70" s="2"/>
      <c r="E70" s="2"/>
      <c r="F70" s="2"/>
      <c r="G70" s="2"/>
      <c r="H70" s="2"/>
      <c r="I70" s="181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90</v>
      </c>
    </row>
    <row r="2" spans="2:23" ht="21.75" customHeight="1" thickBot="1">
      <c r="P2" s="13"/>
      <c r="Q2" s="98"/>
    </row>
    <row r="3" spans="2:23" ht="26.25">
      <c r="H3" s="475" t="s">
        <v>119</v>
      </c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7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78" t="s">
        <v>110</v>
      </c>
      <c r="C5" s="479"/>
      <c r="D5" s="479"/>
      <c r="E5" s="479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77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79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78" t="s">
        <v>111</v>
      </c>
      <c r="C13" s="479"/>
      <c r="D13" s="479"/>
      <c r="E13" s="479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78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35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80" t="s">
        <v>112</v>
      </c>
      <c r="C21" s="481"/>
      <c r="D21" s="481"/>
      <c r="E21" s="481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87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56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50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80" t="s">
        <v>113</v>
      </c>
      <c r="C28" s="481"/>
      <c r="D28" s="481"/>
      <c r="E28" s="481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47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86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48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49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63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115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104</v>
      </c>
    </row>
    <row r="44" spans="1:22" ht="21.75" customHeight="1">
      <c r="V44" s="1" t="s">
        <v>105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6"/>
      <c r="C5" s="206"/>
      <c r="D5" s="206"/>
      <c r="E5" s="482" t="s">
        <v>116</v>
      </c>
      <c r="F5" s="482"/>
      <c r="G5" s="63"/>
    </row>
    <row r="6" spans="1:9" ht="27.75" customHeight="1">
      <c r="A6" s="214" t="s">
        <v>93</v>
      </c>
      <c r="B6" s="207"/>
      <c r="C6" s="208">
        <v>1391</v>
      </c>
      <c r="D6" s="209">
        <v>1392</v>
      </c>
      <c r="E6" s="105">
        <v>1393</v>
      </c>
      <c r="F6" s="106">
        <v>1394</v>
      </c>
      <c r="G6" s="8" t="s">
        <v>82</v>
      </c>
    </row>
    <row r="7" spans="1:9" ht="36.75" customHeight="1">
      <c r="A7" s="215">
        <v>61808</v>
      </c>
      <c r="B7" s="210" t="s">
        <v>91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75" customHeight="1">
      <c r="A8" s="215">
        <v>44777</v>
      </c>
      <c r="B8" s="211" t="s">
        <v>92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5">
        <v>10964</v>
      </c>
      <c r="B9" s="211" t="s">
        <v>69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5">
        <v>15120</v>
      </c>
      <c r="B10" s="211" t="s">
        <v>83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6">
        <v>78929.756024759001</v>
      </c>
      <c r="B11" s="211" t="s">
        <v>71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7">
        <f>+A7*A9/1000</f>
        <v>677662.91200000001</v>
      </c>
      <c r="B12" s="212" t="s">
        <v>81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7">
        <f>A8*A10/1000</f>
        <v>677028.24</v>
      </c>
      <c r="B13" s="211" t="s">
        <v>80</v>
      </c>
      <c r="C13" s="92">
        <f>C8*C10/1000</f>
        <v>478378.13900000002</v>
      </c>
      <c r="D13" s="102">
        <f>D8*D10/1000</f>
        <v>491301.51</v>
      </c>
      <c r="E13" s="205">
        <f>E8*E10/1000</f>
        <v>0</v>
      </c>
      <c r="F13" s="112">
        <f>F8*F10/1000</f>
        <v>395074.54</v>
      </c>
      <c r="G13" s="84"/>
    </row>
    <row r="14" spans="1:9" ht="32.25" customHeight="1" thickBot="1">
      <c r="A14" s="218">
        <f>+A11/A12*100</f>
        <v>11.647347763479049</v>
      </c>
      <c r="B14" s="213" t="s">
        <v>70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70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53</v>
      </c>
    </row>
    <row r="4" spans="3:28" s="2" customFormat="1" ht="29.25" customHeight="1" thickBot="1">
      <c r="C4" s="497" t="s">
        <v>73</v>
      </c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9"/>
      <c r="W4" s="497"/>
      <c r="X4" s="498"/>
      <c r="Y4" s="499"/>
      <c r="Z4" s="187"/>
      <c r="AA4" s="188"/>
      <c r="AB4" s="189"/>
    </row>
    <row r="5" spans="3:28" s="19" customFormat="1" ht="24" customHeight="1">
      <c r="C5" s="42"/>
      <c r="D5" s="43"/>
      <c r="E5" s="64">
        <v>1386</v>
      </c>
      <c r="F5" s="74" t="s">
        <v>74</v>
      </c>
      <c r="G5" s="64">
        <v>1387</v>
      </c>
      <c r="H5" s="75" t="s">
        <v>74</v>
      </c>
      <c r="I5" s="43">
        <v>1388</v>
      </c>
      <c r="J5" s="75" t="s">
        <v>74</v>
      </c>
      <c r="K5" s="64">
        <v>1389</v>
      </c>
      <c r="L5" s="74" t="s">
        <v>74</v>
      </c>
      <c r="M5" s="76"/>
      <c r="N5" s="64">
        <v>1390</v>
      </c>
      <c r="O5" s="74" t="s">
        <v>74</v>
      </c>
      <c r="P5" s="76"/>
      <c r="Q5" s="64">
        <v>1391</v>
      </c>
      <c r="R5" s="74" t="s">
        <v>74</v>
      </c>
      <c r="S5" s="76"/>
      <c r="T5" s="64">
        <v>1392</v>
      </c>
      <c r="U5" s="74" t="s">
        <v>74</v>
      </c>
      <c r="V5" s="76"/>
      <c r="W5" s="64">
        <v>1393</v>
      </c>
      <c r="X5" s="74" t="s">
        <v>74</v>
      </c>
      <c r="Y5" s="76"/>
      <c r="Z5" s="64">
        <v>1394</v>
      </c>
      <c r="AA5" s="197" t="s">
        <v>74</v>
      </c>
      <c r="AB5" s="198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9"/>
      <c r="AB6" s="200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493">
        <f t="shared" ref="L7:L18" si="3">K7-$I$18</f>
        <v>18.970000000001164</v>
      </c>
      <c r="M7" s="494"/>
      <c r="N7" s="58">
        <v>39166.241000000002</v>
      </c>
      <c r="O7" s="493">
        <f>N7-K18</f>
        <v>0</v>
      </c>
      <c r="P7" s="494"/>
      <c r="Q7" s="58">
        <v>39177.095000000001</v>
      </c>
      <c r="R7" s="493">
        <f>Q7-N18</f>
        <v>0</v>
      </c>
      <c r="S7" s="494"/>
      <c r="T7" s="58">
        <v>39157.868000000002</v>
      </c>
      <c r="U7" s="493">
        <f>T7-Q18</f>
        <v>0</v>
      </c>
      <c r="V7" s="494"/>
      <c r="W7" s="58">
        <v>39157.868000000002</v>
      </c>
      <c r="X7" s="493">
        <f>W7-T18</f>
        <v>0</v>
      </c>
      <c r="Y7" s="494"/>
      <c r="Z7" s="194">
        <v>39158.11</v>
      </c>
      <c r="AA7" s="489">
        <f>Z7-W18</f>
        <v>0</v>
      </c>
      <c r="AB7" s="490"/>
    </row>
    <row r="8" spans="3:28" ht="24" customHeight="1">
      <c r="C8" s="5" t="s">
        <v>45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493">
        <f t="shared" si="3"/>
        <v>299.05000000000291</v>
      </c>
      <c r="M8" s="494"/>
      <c r="N8" s="58">
        <v>39166.241000000002</v>
      </c>
      <c r="O8" s="493">
        <f>N8-K18</f>
        <v>0</v>
      </c>
      <c r="P8" s="494"/>
      <c r="Q8" s="60">
        <v>39157.868000000002</v>
      </c>
      <c r="R8" s="493">
        <f>Q8-N18</f>
        <v>-19.226999999998952</v>
      </c>
      <c r="S8" s="494"/>
      <c r="T8" s="60">
        <v>39157.868000000002</v>
      </c>
      <c r="U8" s="493">
        <f>T8-Q18</f>
        <v>0</v>
      </c>
      <c r="V8" s="494"/>
      <c r="W8" s="60">
        <v>39157.868000000002</v>
      </c>
      <c r="X8" s="493">
        <f>W8-T18</f>
        <v>0</v>
      </c>
      <c r="Y8" s="494"/>
      <c r="Z8" s="194">
        <v>39158.11</v>
      </c>
      <c r="AA8" s="489">
        <f>Z8-W18</f>
        <v>0</v>
      </c>
      <c r="AB8" s="490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493">
        <f t="shared" si="3"/>
        <v>554.66599999999744</v>
      </c>
      <c r="M9" s="494"/>
      <c r="N9" s="58">
        <v>39162.794000000002</v>
      </c>
      <c r="O9" s="493">
        <f>N9-K18</f>
        <v>-3.4470000000001164</v>
      </c>
      <c r="P9" s="494"/>
      <c r="Q9" s="60">
        <v>39157.868000000002</v>
      </c>
      <c r="R9" s="489">
        <f>Q9-N18</f>
        <v>-19.226999999998952</v>
      </c>
      <c r="S9" s="490"/>
      <c r="T9" s="60">
        <v>39157.868000000002</v>
      </c>
      <c r="U9" s="489">
        <f>T9-Q18</f>
        <v>0</v>
      </c>
      <c r="V9" s="490"/>
      <c r="W9" s="60">
        <v>39157.868000000002</v>
      </c>
      <c r="X9" s="489">
        <f>W9-T18</f>
        <v>0</v>
      </c>
      <c r="Y9" s="490"/>
      <c r="Z9" s="194">
        <v>39158.11</v>
      </c>
      <c r="AA9" s="489">
        <f>Z9-W18</f>
        <v>0</v>
      </c>
      <c r="AB9" s="490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493">
        <f t="shared" si="3"/>
        <v>574.13999999999942</v>
      </c>
      <c r="M10" s="494"/>
      <c r="N10" s="60">
        <v>39162.794000000002</v>
      </c>
      <c r="O10" s="493">
        <f>N10-K18</f>
        <v>-3.4470000000001164</v>
      </c>
      <c r="P10" s="494"/>
      <c r="Q10" s="60">
        <v>39157.868000000002</v>
      </c>
      <c r="R10" s="489">
        <f>Q10-N18</f>
        <v>-19.226999999998952</v>
      </c>
      <c r="S10" s="490"/>
      <c r="T10" s="60">
        <v>39157.868000000002</v>
      </c>
      <c r="U10" s="489">
        <f>T10-Q18</f>
        <v>0</v>
      </c>
      <c r="V10" s="490"/>
      <c r="W10" s="60">
        <v>39157.868000000002</v>
      </c>
      <c r="X10" s="489">
        <f>W10-T18</f>
        <v>0</v>
      </c>
      <c r="Y10" s="490"/>
      <c r="Z10" s="195"/>
      <c r="AA10" s="190"/>
      <c r="AB10" s="191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493">
        <f t="shared" si="3"/>
        <v>598.65800000000309</v>
      </c>
      <c r="M11" s="494"/>
      <c r="N11" s="58">
        <v>39161.991999999998</v>
      </c>
      <c r="O11" s="493">
        <f>N11-K18</f>
        <v>-4.2490000000034343</v>
      </c>
      <c r="P11" s="494"/>
      <c r="Q11" s="60">
        <v>39157.868000000002</v>
      </c>
      <c r="R11" s="489">
        <f>Q11-N18</f>
        <v>-19.226999999998952</v>
      </c>
      <c r="S11" s="490"/>
      <c r="T11" s="60">
        <v>39157.868000000002</v>
      </c>
      <c r="U11" s="489">
        <f>T11-Q18</f>
        <v>0</v>
      </c>
      <c r="V11" s="490"/>
      <c r="W11" s="60">
        <v>39157.868000000002</v>
      </c>
      <c r="X11" s="489">
        <f>W11-T18</f>
        <v>0</v>
      </c>
      <c r="Y11" s="490"/>
      <c r="Z11" s="195"/>
      <c r="AA11" s="190"/>
      <c r="AB11" s="191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493">
        <f t="shared" si="3"/>
        <v>587.67900000000373</v>
      </c>
      <c r="M12" s="494"/>
      <c r="N12" s="58">
        <v>39161.991999999998</v>
      </c>
      <c r="O12" s="493">
        <f t="shared" ref="O12:O17" si="4">N12-$K$18</f>
        <v>-4.2490000000034343</v>
      </c>
      <c r="P12" s="494"/>
      <c r="Q12" s="60">
        <v>39157.868000000002</v>
      </c>
      <c r="R12" s="489">
        <f t="shared" ref="R12:R18" si="5">Q12-$N$18</f>
        <v>-19.226999999998952</v>
      </c>
      <c r="S12" s="490"/>
      <c r="T12" s="60">
        <v>39157.868000000002</v>
      </c>
      <c r="U12" s="489">
        <f>T12-Q18</f>
        <v>0</v>
      </c>
      <c r="V12" s="490"/>
      <c r="W12" s="60">
        <v>39157.868000000002</v>
      </c>
      <c r="X12" s="489">
        <f>W12-T18</f>
        <v>0</v>
      </c>
      <c r="Y12" s="490"/>
      <c r="Z12" s="195"/>
      <c r="AA12" s="190"/>
      <c r="AB12" s="191"/>
    </row>
    <row r="13" spans="3:28" ht="24" customHeight="1">
      <c r="C13" s="5" t="s">
        <v>75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493">
        <f t="shared" si="3"/>
        <v>810.14800000000105</v>
      </c>
      <c r="M13" s="494"/>
      <c r="N13" s="58">
        <v>39161.991999999998</v>
      </c>
      <c r="O13" s="493">
        <f t="shared" si="4"/>
        <v>-4.2490000000034343</v>
      </c>
      <c r="P13" s="494"/>
      <c r="Q13" s="60">
        <v>39157.868000000002</v>
      </c>
      <c r="R13" s="489">
        <f t="shared" si="5"/>
        <v>-19.226999999998952</v>
      </c>
      <c r="S13" s="490"/>
      <c r="T13" s="60">
        <v>39157.868000000002</v>
      </c>
      <c r="U13" s="489">
        <f>T13-Q18</f>
        <v>0</v>
      </c>
      <c r="V13" s="490"/>
      <c r="W13" s="60">
        <v>39157.868000000002</v>
      </c>
      <c r="X13" s="489">
        <f>W13-T18</f>
        <v>0</v>
      </c>
      <c r="Y13" s="490"/>
      <c r="Z13" s="195"/>
      <c r="AA13" s="190"/>
      <c r="AB13" s="191"/>
    </row>
    <row r="14" spans="3:28" ht="24" customHeight="1">
      <c r="C14" s="5" t="s">
        <v>76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493">
        <f t="shared" si="3"/>
        <v>1138.7510000000038</v>
      </c>
      <c r="M14" s="494"/>
      <c r="N14" s="58">
        <v>39161.991999999998</v>
      </c>
      <c r="O14" s="493">
        <f t="shared" si="4"/>
        <v>-4.2490000000034343</v>
      </c>
      <c r="P14" s="494"/>
      <c r="Q14" s="60">
        <v>39157.868000000002</v>
      </c>
      <c r="R14" s="489">
        <f t="shared" si="5"/>
        <v>-19.226999999998952</v>
      </c>
      <c r="S14" s="490"/>
      <c r="T14" s="60">
        <v>39157.868000000002</v>
      </c>
      <c r="U14" s="489">
        <f>T14-Q18</f>
        <v>0</v>
      </c>
      <c r="V14" s="490"/>
      <c r="W14" s="60">
        <v>39157.868000000002</v>
      </c>
      <c r="X14" s="489">
        <f>W14-T18</f>
        <v>0</v>
      </c>
      <c r="Y14" s="490"/>
      <c r="Z14" s="195"/>
      <c r="AA14" s="190"/>
      <c r="AB14" s="191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493">
        <f t="shared" si="3"/>
        <v>1150.1410000000033</v>
      </c>
      <c r="M15" s="494"/>
      <c r="N15" s="58">
        <v>39159.938999999998</v>
      </c>
      <c r="O15" s="493">
        <f t="shared" si="4"/>
        <v>-6.3020000000033178</v>
      </c>
      <c r="P15" s="494"/>
      <c r="Q15" s="60">
        <v>39157.868000000002</v>
      </c>
      <c r="R15" s="489">
        <f>Q15-$N$18</f>
        <v>-19.226999999998952</v>
      </c>
      <c r="S15" s="490"/>
      <c r="T15" s="60">
        <v>39157.868000000002</v>
      </c>
      <c r="U15" s="489">
        <f>T15-Q18</f>
        <v>0</v>
      </c>
      <c r="V15" s="490"/>
      <c r="W15" s="60">
        <v>39157.868000000002</v>
      </c>
      <c r="X15" s="489">
        <f>W15-T18</f>
        <v>0</v>
      </c>
      <c r="Y15" s="490"/>
      <c r="Z15" s="195"/>
      <c r="AA15" s="190"/>
      <c r="AB15" s="191"/>
    </row>
    <row r="16" spans="3:28" ht="24" customHeight="1">
      <c r="C16" s="5" t="s">
        <v>68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489">
        <f t="shared" si="5"/>
        <v>-19.226999999998952</v>
      </c>
      <c r="S16" s="490"/>
      <c r="T16" s="60">
        <v>39157.868000000002</v>
      </c>
      <c r="U16" s="489">
        <f>T16-Q18</f>
        <v>0</v>
      </c>
      <c r="V16" s="490"/>
      <c r="W16" s="60">
        <v>39157.868000000002</v>
      </c>
      <c r="X16" s="489">
        <f>W16-T18</f>
        <v>0</v>
      </c>
      <c r="Y16" s="490"/>
      <c r="Z16" s="195"/>
      <c r="AA16" s="190"/>
      <c r="AB16" s="191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489">
        <f t="shared" si="5"/>
        <v>-19.226999999998952</v>
      </c>
      <c r="S17" s="490"/>
      <c r="T17" s="58">
        <v>39157.868000000002</v>
      </c>
      <c r="U17" s="489">
        <f>T17-Q18</f>
        <v>0</v>
      </c>
      <c r="V17" s="490"/>
      <c r="W17" s="58">
        <v>39157.868000000002</v>
      </c>
      <c r="X17" s="489">
        <f>W17-T18</f>
        <v>0</v>
      </c>
      <c r="Y17" s="490"/>
      <c r="Z17" s="195"/>
      <c r="AA17" s="190"/>
      <c r="AB17" s="191"/>
    </row>
    <row r="18" spans="3:28" ht="24" customHeight="1" thickBot="1">
      <c r="C18" s="21" t="s">
        <v>72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491">
        <f t="shared" si="5"/>
        <v>-19.226999999998952</v>
      </c>
      <c r="S18" s="492"/>
      <c r="T18" s="71">
        <v>39157.868000000002</v>
      </c>
      <c r="U18" s="491">
        <f>T18-$N$18</f>
        <v>-19.226999999998952</v>
      </c>
      <c r="V18" s="492"/>
      <c r="W18" s="71">
        <v>39158.11</v>
      </c>
      <c r="X18" s="491">
        <f>W18-$N$18</f>
        <v>-18.985000000000582</v>
      </c>
      <c r="Y18" s="492"/>
      <c r="Z18" s="196"/>
      <c r="AA18" s="192"/>
      <c r="AB18" s="193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496"/>
      <c r="P20" s="496"/>
      <c r="R20" s="496"/>
      <c r="S20" s="496"/>
      <c r="U20" s="483" t="s">
        <v>51</v>
      </c>
      <c r="V20" s="484"/>
    </row>
    <row r="21" spans="3:28" s="2" customFormat="1" ht="24" customHeight="1">
      <c r="C21" s="55"/>
      <c r="D21" s="55"/>
      <c r="E21" s="55"/>
      <c r="F21" s="55"/>
      <c r="G21" s="55"/>
      <c r="H21" s="55"/>
      <c r="O21" s="496"/>
      <c r="P21" s="496"/>
      <c r="R21" s="496"/>
      <c r="S21" s="496"/>
      <c r="U21" s="485" t="s">
        <v>52</v>
      </c>
      <c r="V21" s="486"/>
    </row>
    <row r="22" spans="3:28" s="2" customFormat="1" ht="24" customHeight="1">
      <c r="C22" s="55"/>
      <c r="D22" s="55"/>
      <c r="E22" s="55"/>
      <c r="F22" s="55"/>
      <c r="G22" s="55"/>
      <c r="H22" s="55"/>
      <c r="O22" s="495"/>
      <c r="P22" s="495"/>
      <c r="R22" s="495"/>
      <c r="S22" s="495"/>
      <c r="U22" s="487" t="s">
        <v>107</v>
      </c>
      <c r="V22" s="488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جدول گزيده1</vt:lpstr>
      <vt:lpstr>جدول گزيده  2</vt:lpstr>
      <vt:lpstr>نمودارها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گزيده  2'!Print_Area</vt:lpstr>
      <vt:lpstr>'جدول گزيده1'!Print_Area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2026-08-03T07:16:54Z</cp:lastPrinted>
  <dcterms:created xsi:type="dcterms:W3CDTF">2008-06-02T07:26:13Z</dcterms:created>
  <dcterms:modified xsi:type="dcterms:W3CDTF">2026-09-28T05:35:27Z</dcterms:modified>
</cp:coreProperties>
</file>